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hidePivotFieldList="1" defaultThemeVersion="202300"/>
  <mc:AlternateContent xmlns:mc="http://schemas.openxmlformats.org/markup-compatibility/2006">
    <mc:Choice Requires="x15">
      <x15ac:absPath xmlns:x15ac="http://schemas.microsoft.com/office/spreadsheetml/2010/11/ac" url="/Users/timbuckley/Desktop/Spreadsheets/Countries/China/"/>
    </mc:Choice>
  </mc:AlternateContent>
  <xr:revisionPtr revIDLastSave="0" documentId="8_{B4D814FA-76A0-A94C-BE55-82A90E645D6A}" xr6:coauthVersionLast="47" xr6:coauthVersionMax="47" xr10:uidLastSave="{00000000-0000-0000-0000-000000000000}"/>
  <bookViews>
    <workbookView xWindow="1720" yWindow="4960" windowWidth="34560" windowHeight="20020" activeTab="3" xr2:uid="{B8B735C4-F62C-554E-A739-CBA7B8785D54}"/>
  </bookViews>
  <sheets>
    <sheet name="Disclaimer" sheetId="16" r:id="rId1"/>
    <sheet name="Glossary" sheetId="15" r:id="rId2"/>
    <sheet name="Definitions" sheetId="1" r:id="rId3"/>
    <sheet name="Global Cleantech" sheetId="2" r:id="rId4"/>
    <sheet name="Resources" sheetId="18" r:id="rId5"/>
    <sheet name="Region Chart" sheetId="9" r:id="rId6"/>
    <sheet name="Tech Chart" sheetId="11" r:id="rId7"/>
    <sheet name="North and South" sheetId="13" r:id="rId8"/>
    <sheet name="Batteries" sheetId="14" r:id="rId9"/>
    <sheet name="Resource Region Chart" sheetId="19" r:id="rId10"/>
    <sheet name="Simandou" sheetId="17" r:id="rId11"/>
  </sheets>
  <externalReferences>
    <externalReference r:id="rId12"/>
  </externalReferences>
  <definedNames>
    <definedName name="_xlchart.v1.0" hidden="1">('North and South'!$A$20:$A$25,'North and South'!$A$28:$A$31)</definedName>
    <definedName name="_xlchart.v1.1" hidden="1">('North and South'!$R$20:$R$25,'North and South'!$R$28:$R$31)</definedName>
    <definedName name="AUDUSD" localSheetId="4">[1]Definitions!$K$6</definedName>
    <definedName name="AUDUSD" localSheetId="10">[1]Definitions!$K$6</definedName>
    <definedName name="AUDUSD">Definitions!$K$6</definedName>
    <definedName name="Edits">'Global Cleantech'!$G$340</definedName>
    <definedName name="Euro" localSheetId="4">[1]Global!$G$333</definedName>
    <definedName name="Euro" localSheetId="10">[1]Global!$G$333</definedName>
    <definedName name="Euro">'Global Cleantech'!$G$341</definedName>
    <definedName name="EURUSD" localSheetId="4">[1]Definitions!$K$4</definedName>
    <definedName name="EURUSD" localSheetId="10">[1]Definitions!$K$4</definedName>
    <definedName name="EURUSD">Definitions!$K$4</definedName>
    <definedName name="GBPUSD" localSheetId="4">[1]Definitions!$K$3</definedName>
    <definedName name="GBPUSD" localSheetId="10">[1]Definitions!$K$3</definedName>
    <definedName name="GBPUSD">Definitions!$K$3</definedName>
    <definedName name="JPYUSD">Definitions!$K$5</definedName>
    <definedName name="Slicer_Progress">#N/A</definedName>
    <definedName name="Sterl">'Global Cleantech'!$G$339</definedName>
    <definedName name="Sterling">'Global Cleantech'!$G$340</definedName>
  </definedNames>
  <calcPr calcId="191029"/>
  <pivotCaches>
    <pivotCache cacheId="6" r:id="rId13"/>
    <pivotCache cacheId="7" r:id="rId14"/>
  </pivotCaches>
  <extLst>
    <ext xmlns:x14="http://schemas.microsoft.com/office/spreadsheetml/2009/9/main" uri="{BBE1A952-AA13-448e-AADC-164F8A28A991}">
      <x14:slicerCaches>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8" l="1"/>
  <c r="G27" i="18"/>
  <c r="H208" i="2"/>
  <c r="F302" i="2"/>
  <c r="H302" i="2" s="1"/>
  <c r="H296" i="2"/>
  <c r="H309" i="2"/>
  <c r="H80" i="2"/>
  <c r="H59" i="2"/>
  <c r="H17" i="2"/>
  <c r="H16" i="2"/>
  <c r="G72" i="18"/>
  <c r="F71" i="18"/>
  <c r="G71" i="18" s="1"/>
  <c r="G70" i="18"/>
  <c r="G73" i="18"/>
  <c r="G69" i="18"/>
  <c r="G74" i="18"/>
  <c r="G78" i="18" s="1"/>
  <c r="G65" i="18"/>
  <c r="G66" i="18"/>
  <c r="G67" i="18"/>
  <c r="E29" i="18"/>
  <c r="G29" i="18" s="1"/>
  <c r="G64" i="18"/>
  <c r="G63" i="18"/>
  <c r="G62" i="18"/>
  <c r="E61" i="18"/>
  <c r="G61" i="18" s="1"/>
  <c r="G60" i="18"/>
  <c r="G59" i="18"/>
  <c r="G58" i="18"/>
  <c r="G57" i="18"/>
  <c r="G56" i="18"/>
  <c r="G55" i="18"/>
  <c r="G54" i="18"/>
  <c r="G53" i="18"/>
  <c r="G52" i="18"/>
  <c r="G51" i="18"/>
  <c r="G50" i="18"/>
  <c r="G49" i="18"/>
  <c r="E48" i="18"/>
  <c r="G48" i="18" s="1"/>
  <c r="G47" i="18"/>
  <c r="G46" i="18"/>
  <c r="G45" i="18"/>
  <c r="G44" i="18"/>
  <c r="G43" i="18"/>
  <c r="G42" i="18"/>
  <c r="G41" i="18"/>
  <c r="G40" i="18"/>
  <c r="G39" i="18"/>
  <c r="G38" i="18"/>
  <c r="G37" i="18"/>
  <c r="E36" i="18"/>
  <c r="G36" i="18" s="1"/>
  <c r="G35" i="18"/>
  <c r="G34" i="18"/>
  <c r="G33" i="18"/>
  <c r="G32" i="18"/>
  <c r="G31" i="18"/>
  <c r="G30" i="18"/>
  <c r="G26" i="18"/>
  <c r="G25" i="18"/>
  <c r="G24" i="18"/>
  <c r="G23" i="18"/>
  <c r="G22" i="18"/>
  <c r="G21" i="18"/>
  <c r="G20" i="18"/>
  <c r="G19" i="18"/>
  <c r="G18" i="18"/>
  <c r="G17" i="18"/>
  <c r="G16" i="18"/>
  <c r="G15" i="18"/>
  <c r="G14" i="18"/>
  <c r="G13" i="18"/>
  <c r="G12" i="18"/>
  <c r="G11" i="18"/>
  <c r="G10" i="18"/>
  <c r="G9" i="18"/>
  <c r="G8" i="18"/>
  <c r="G7" i="18"/>
  <c r="G6" i="18"/>
  <c r="G5" i="18"/>
  <c r="E4" i="18"/>
  <c r="G4" i="18" s="1"/>
  <c r="E3" i="18"/>
  <c r="G3" i="18" s="1"/>
  <c r="G2" i="18"/>
  <c r="C20" i="17"/>
  <c r="C19" i="17"/>
  <c r="C21" i="17" s="1"/>
  <c r="C13" i="17"/>
  <c r="E13" i="17" s="1"/>
  <c r="F13" i="17" s="1"/>
  <c r="C12" i="17"/>
  <c r="E12" i="17" s="1"/>
  <c r="F12" i="17" s="1"/>
  <c r="C11" i="17"/>
  <c r="E11" i="17" s="1"/>
  <c r="F11" i="17" s="1"/>
  <c r="C10" i="17"/>
  <c r="C14" i="17" s="1"/>
  <c r="E14" i="17" s="1"/>
  <c r="E8" i="17"/>
  <c r="F8" i="17" s="1"/>
  <c r="D8" i="17"/>
  <c r="D7" i="17"/>
  <c r="D14" i="17" s="1"/>
  <c r="E5" i="17"/>
  <c r="F5" i="17" s="1"/>
  <c r="G77" i="18" l="1"/>
  <c r="G79" i="18" s="1"/>
  <c r="C15" i="17"/>
  <c r="D15" i="17"/>
  <c r="E10" i="17"/>
  <c r="F10" i="17" s="1"/>
  <c r="E7" i="17"/>
  <c r="F7" i="17" l="1"/>
  <c r="F15" i="17" s="1"/>
  <c r="E15" i="17"/>
  <c r="B23" i="13" l="1"/>
  <c r="B22" i="13"/>
  <c r="B21" i="13"/>
  <c r="B20" i="13"/>
  <c r="B25" i="13"/>
  <c r="B32" i="13" s="1"/>
  <c r="R30" i="13"/>
  <c r="Q30" i="13"/>
  <c r="P30" i="13"/>
  <c r="O30" i="13"/>
  <c r="N30" i="13"/>
  <c r="N31" i="13" s="1"/>
  <c r="M30" i="13"/>
  <c r="L30" i="13"/>
  <c r="K30" i="13"/>
  <c r="J30" i="13"/>
  <c r="I30" i="13"/>
  <c r="H30" i="13"/>
  <c r="G30" i="13"/>
  <c r="F30" i="13"/>
  <c r="F31" i="13" s="1"/>
  <c r="E30" i="13"/>
  <c r="D30" i="13"/>
  <c r="C30" i="13"/>
  <c r="B30" i="13"/>
  <c r="A30" i="13"/>
  <c r="R29" i="13"/>
  <c r="Q29" i="13"/>
  <c r="P29" i="13"/>
  <c r="P31" i="13" s="1"/>
  <c r="O29" i="13"/>
  <c r="N29" i="13"/>
  <c r="M29" i="13"/>
  <c r="L29" i="13"/>
  <c r="K29" i="13"/>
  <c r="J29" i="13"/>
  <c r="I29" i="13"/>
  <c r="H29" i="13"/>
  <c r="H31" i="13" s="1"/>
  <c r="G29" i="13"/>
  <c r="F29" i="13"/>
  <c r="E29" i="13"/>
  <c r="E31" i="13" s="1"/>
  <c r="D29" i="13"/>
  <c r="C29" i="13"/>
  <c r="B29" i="13"/>
  <c r="A29" i="13"/>
  <c r="R28" i="13"/>
  <c r="R31" i="13" s="1"/>
  <c r="Q28" i="13"/>
  <c r="P28" i="13"/>
  <c r="O28" i="13"/>
  <c r="N28" i="13"/>
  <c r="M28" i="13"/>
  <c r="M31" i="13" s="1"/>
  <c r="L28" i="13"/>
  <c r="L31" i="13" s="1"/>
  <c r="K28" i="13"/>
  <c r="K31" i="13" s="1"/>
  <c r="J28" i="13"/>
  <c r="J31" i="13" s="1"/>
  <c r="I28" i="13"/>
  <c r="I31" i="13" s="1"/>
  <c r="H28" i="13"/>
  <c r="G28" i="13"/>
  <c r="F28" i="13"/>
  <c r="E28" i="13"/>
  <c r="D28" i="13"/>
  <c r="D31" i="13" s="1"/>
  <c r="C28" i="13"/>
  <c r="C31" i="13" s="1"/>
  <c r="B28" i="13"/>
  <c r="B31" i="13" s="1"/>
  <c r="A28" i="13"/>
  <c r="R24" i="13"/>
  <c r="Q24" i="13"/>
  <c r="P24" i="13"/>
  <c r="O24" i="13"/>
  <c r="N24" i="13"/>
  <c r="M24" i="13"/>
  <c r="L24" i="13"/>
  <c r="K24" i="13"/>
  <c r="J24" i="13"/>
  <c r="I24" i="13"/>
  <c r="H24" i="13"/>
  <c r="G24" i="13"/>
  <c r="F24" i="13"/>
  <c r="E24" i="13"/>
  <c r="D24" i="13"/>
  <c r="C24" i="13"/>
  <c r="B24" i="13"/>
  <c r="A24" i="13"/>
  <c r="R23" i="13"/>
  <c r="Q23" i="13"/>
  <c r="P23" i="13"/>
  <c r="O23" i="13"/>
  <c r="N23" i="13"/>
  <c r="M23" i="13"/>
  <c r="L23" i="13"/>
  <c r="K23" i="13"/>
  <c r="J23" i="13"/>
  <c r="I23" i="13"/>
  <c r="H23" i="13"/>
  <c r="G23" i="13"/>
  <c r="F23" i="13"/>
  <c r="E23" i="13"/>
  <c r="D23" i="13"/>
  <c r="C23" i="13"/>
  <c r="A23" i="13"/>
  <c r="R22" i="13"/>
  <c r="Q22" i="13"/>
  <c r="P22" i="13"/>
  <c r="O22" i="13"/>
  <c r="N22" i="13"/>
  <c r="M22" i="13"/>
  <c r="L22" i="13"/>
  <c r="K22" i="13"/>
  <c r="J22" i="13"/>
  <c r="I22" i="13"/>
  <c r="H22" i="13"/>
  <c r="G22" i="13"/>
  <c r="F22" i="13"/>
  <c r="E22" i="13"/>
  <c r="D22" i="13"/>
  <c r="C22" i="13"/>
  <c r="A22" i="13"/>
  <c r="R21" i="13"/>
  <c r="Q21" i="13"/>
  <c r="P21" i="13"/>
  <c r="O21" i="13"/>
  <c r="N21" i="13"/>
  <c r="M21" i="13"/>
  <c r="L21" i="13"/>
  <c r="K21" i="13"/>
  <c r="J21" i="13"/>
  <c r="I21" i="13"/>
  <c r="H21" i="13"/>
  <c r="G21" i="13"/>
  <c r="F21" i="13"/>
  <c r="E21" i="13"/>
  <c r="D21" i="13"/>
  <c r="C21" i="13"/>
  <c r="A21" i="13"/>
  <c r="R20" i="13"/>
  <c r="R25" i="13" s="1"/>
  <c r="Q20" i="13"/>
  <c r="P20" i="13"/>
  <c r="O20" i="13"/>
  <c r="N20" i="13"/>
  <c r="M20" i="13"/>
  <c r="L20" i="13"/>
  <c r="L25" i="13" s="1"/>
  <c r="K20" i="13"/>
  <c r="J20" i="13"/>
  <c r="J25" i="13" s="1"/>
  <c r="I20" i="13"/>
  <c r="H20" i="13"/>
  <c r="G20" i="13"/>
  <c r="F20" i="13"/>
  <c r="E20" i="13"/>
  <c r="D20" i="13"/>
  <c r="D25" i="13" s="1"/>
  <c r="C20" i="13"/>
  <c r="A20" i="13"/>
  <c r="R18" i="13"/>
  <c r="Q18" i="13"/>
  <c r="P18" i="13"/>
  <c r="O18" i="13"/>
  <c r="N18" i="13"/>
  <c r="M18" i="13"/>
  <c r="L18" i="13"/>
  <c r="K18" i="13"/>
  <c r="J18" i="13"/>
  <c r="I18" i="13"/>
  <c r="H18" i="13"/>
  <c r="G18" i="13"/>
  <c r="F18" i="13"/>
  <c r="E18" i="13"/>
  <c r="D18" i="13"/>
  <c r="C18" i="13"/>
  <c r="B18" i="13"/>
  <c r="H141" i="2"/>
  <c r="H216" i="2"/>
  <c r="H149" i="2"/>
  <c r="H145" i="2"/>
  <c r="H144" i="2"/>
  <c r="H295" i="2"/>
  <c r="H25" i="13" l="1"/>
  <c r="P25" i="13"/>
  <c r="I25" i="13"/>
  <c r="I32" i="13" s="1"/>
  <c r="Q25" i="13"/>
  <c r="Q31" i="13"/>
  <c r="K25" i="13"/>
  <c r="K32" i="13" s="1"/>
  <c r="O31" i="13"/>
  <c r="M25" i="13"/>
  <c r="M32" i="13" s="1"/>
  <c r="F25" i="13"/>
  <c r="F32" i="13" s="1"/>
  <c r="N25" i="13"/>
  <c r="N32" i="13" s="1"/>
  <c r="C25" i="13"/>
  <c r="G31" i="13"/>
  <c r="E25" i="13"/>
  <c r="E32" i="13" s="1"/>
  <c r="G25" i="13"/>
  <c r="G32" i="13" s="1"/>
  <c r="O25" i="13"/>
  <c r="O32" i="13" s="1"/>
  <c r="C32" i="13"/>
  <c r="H32" i="13"/>
  <c r="R32" i="13"/>
  <c r="P32" i="13"/>
  <c r="J32" i="13"/>
  <c r="D32" i="13"/>
  <c r="L32" i="13"/>
  <c r="H276" i="2"/>
  <c r="H64" i="2"/>
  <c r="H203" i="2"/>
  <c r="Q32" i="13" l="1"/>
  <c r="H245" i="2"/>
  <c r="H244" i="2"/>
  <c r="H243" i="2"/>
  <c r="H256" i="2"/>
  <c r="H61" i="2"/>
  <c r="H21" i="2"/>
  <c r="F60" i="2"/>
  <c r="H60" i="2" s="1"/>
  <c r="F212" i="2"/>
  <c r="H212" i="2" s="1"/>
  <c r="F193" i="2"/>
  <c r="H193" i="2" s="1"/>
  <c r="F185" i="2"/>
  <c r="H185" i="2" s="1"/>
  <c r="F184" i="2"/>
  <c r="H184" i="2" s="1"/>
  <c r="G20" i="2"/>
  <c r="H20" i="2" s="1"/>
  <c r="F22" i="2"/>
  <c r="H22" i="2" s="1"/>
  <c r="F27" i="2"/>
  <c r="H27" i="2" s="1"/>
  <c r="F156" i="2"/>
  <c r="H156" i="2" s="1"/>
  <c r="H298" i="2"/>
  <c r="H10" i="2"/>
  <c r="H148" i="2"/>
  <c r="H26" i="2"/>
  <c r="H72" i="2"/>
  <c r="H73" i="2"/>
  <c r="H74" i="2"/>
  <c r="H35" i="2"/>
  <c r="H2" i="2"/>
  <c r="H3" i="2"/>
  <c r="H4" i="2"/>
  <c r="H5" i="2"/>
  <c r="H6" i="2"/>
  <c r="H7" i="2"/>
  <c r="H8" i="2"/>
  <c r="H9" i="2"/>
  <c r="H11" i="2"/>
  <c r="H12" i="2"/>
  <c r="H13" i="2"/>
  <c r="H14" i="2"/>
  <c r="H15" i="2"/>
  <c r="H18" i="2"/>
  <c r="H19" i="2"/>
  <c r="H29" i="2"/>
  <c r="H30" i="2"/>
  <c r="H31" i="2"/>
  <c r="H32" i="2"/>
  <c r="H33" i="2"/>
  <c r="H34" i="2"/>
  <c r="H36" i="2"/>
  <c r="H37" i="2"/>
  <c r="H38" i="2"/>
  <c r="H39" i="2"/>
  <c r="H40" i="2"/>
  <c r="H41" i="2"/>
  <c r="H42" i="2"/>
  <c r="H43" i="2"/>
  <c r="H44" i="2"/>
  <c r="H45" i="2"/>
  <c r="H47" i="2"/>
  <c r="H48" i="2"/>
  <c r="H49" i="2"/>
  <c r="H50" i="2"/>
  <c r="H51" i="2"/>
  <c r="H52" i="2"/>
  <c r="H53" i="2"/>
  <c r="H54" i="2"/>
  <c r="H55" i="2"/>
  <c r="H56" i="2"/>
  <c r="H57" i="2"/>
  <c r="H58" i="2"/>
  <c r="H62" i="2"/>
  <c r="H63" i="2"/>
  <c r="H66" i="2"/>
  <c r="H67" i="2"/>
  <c r="H68" i="2"/>
  <c r="H69" i="2"/>
  <c r="H70" i="2"/>
  <c r="H75" i="2"/>
  <c r="H76" i="2"/>
  <c r="H81" i="2"/>
  <c r="H82" i="2"/>
  <c r="H83" i="2"/>
  <c r="H84" i="2"/>
  <c r="H85" i="2"/>
  <c r="H86" i="2"/>
  <c r="H87" i="2"/>
  <c r="H88" i="2"/>
  <c r="H89" i="2"/>
  <c r="H90" i="2"/>
  <c r="H91" i="2"/>
  <c r="H92" i="2"/>
  <c r="H93" i="2"/>
  <c r="H94" i="2"/>
  <c r="H95" i="2"/>
  <c r="H96" i="2"/>
  <c r="H97" i="2"/>
  <c r="H99" i="2"/>
  <c r="H100" i="2"/>
  <c r="H101" i="2"/>
  <c r="H102" i="2"/>
  <c r="H103" i="2"/>
  <c r="H104" i="2"/>
  <c r="H105" i="2"/>
  <c r="H106" i="2"/>
  <c r="H107" i="2"/>
  <c r="H108" i="2"/>
  <c r="H109" i="2"/>
  <c r="H110" i="2"/>
  <c r="H111" i="2"/>
  <c r="H112" i="2"/>
  <c r="H113" i="2"/>
  <c r="H114" i="2"/>
  <c r="H115" i="2"/>
  <c r="H116" i="2"/>
  <c r="H117" i="2"/>
  <c r="H118" i="2"/>
  <c r="H119" i="2"/>
  <c r="H121" i="2"/>
  <c r="H122" i="2"/>
  <c r="H123" i="2"/>
  <c r="H124" i="2"/>
  <c r="H125" i="2"/>
  <c r="H126" i="2"/>
  <c r="H127" i="2"/>
  <c r="H128" i="2"/>
  <c r="H129" i="2"/>
  <c r="H130" i="2"/>
  <c r="H131" i="2"/>
  <c r="H132" i="2"/>
  <c r="H133" i="2"/>
  <c r="H134" i="2"/>
  <c r="H135" i="2"/>
  <c r="H136" i="2"/>
  <c r="H137" i="2"/>
  <c r="H138" i="2"/>
  <c r="H139" i="2"/>
  <c r="H140" i="2"/>
  <c r="H142" i="2"/>
  <c r="H146" i="2"/>
  <c r="H147" i="2"/>
  <c r="H150" i="2"/>
  <c r="H151" i="2"/>
  <c r="H152" i="2"/>
  <c r="H153" i="2"/>
  <c r="H154" i="2"/>
  <c r="H155" i="2"/>
  <c r="H157" i="2"/>
  <c r="H158" i="2"/>
  <c r="H159" i="2"/>
  <c r="H160" i="2"/>
  <c r="H161" i="2"/>
  <c r="H163" i="2"/>
  <c r="H164" i="2"/>
  <c r="H165" i="2"/>
  <c r="H166" i="2"/>
  <c r="H167" i="2"/>
  <c r="H168" i="2"/>
  <c r="H169" i="2"/>
  <c r="H170" i="2"/>
  <c r="H171" i="2"/>
  <c r="H172" i="2"/>
  <c r="H173" i="2"/>
  <c r="H174" i="2"/>
  <c r="H175" i="2"/>
  <c r="H176" i="2"/>
  <c r="H177" i="2"/>
  <c r="H178" i="2"/>
  <c r="H179" i="2"/>
  <c r="H180" i="2"/>
  <c r="H181" i="2"/>
  <c r="H182" i="2"/>
  <c r="H183" i="2"/>
  <c r="H186" i="2"/>
  <c r="H187" i="2"/>
  <c r="H188" i="2"/>
  <c r="H189" i="2"/>
  <c r="H190" i="2"/>
  <c r="H191" i="2"/>
  <c r="H192" i="2"/>
  <c r="H194" i="2"/>
  <c r="H195" i="2"/>
  <c r="H196" i="2"/>
  <c r="H197" i="2"/>
  <c r="H198" i="2"/>
  <c r="H199" i="2"/>
  <c r="H200" i="2"/>
  <c r="H201" i="2"/>
  <c r="H202" i="2"/>
  <c r="H204" i="2"/>
  <c r="H205" i="2"/>
  <c r="H206" i="2"/>
  <c r="H207" i="2"/>
  <c r="H209" i="2"/>
  <c r="H210" i="2"/>
  <c r="H211" i="2"/>
  <c r="H213" i="2"/>
  <c r="H214" i="2"/>
  <c r="H215" i="2"/>
  <c r="H217" i="2"/>
  <c r="H218" i="2"/>
  <c r="H219" i="2"/>
  <c r="H220" i="2"/>
  <c r="H221" i="2"/>
  <c r="H222" i="2"/>
  <c r="H223" i="2"/>
  <c r="H224" i="2"/>
  <c r="H225" i="2"/>
  <c r="H226" i="2"/>
  <c r="H227" i="2"/>
  <c r="H228" i="2"/>
  <c r="H229" i="2"/>
  <c r="H230" i="2"/>
  <c r="H231" i="2"/>
  <c r="H232" i="2"/>
  <c r="H233" i="2"/>
  <c r="H234" i="2"/>
  <c r="H235" i="2"/>
  <c r="H240" i="2"/>
  <c r="H241" i="2"/>
  <c r="H246" i="2"/>
  <c r="H249" i="2"/>
  <c r="H251" i="2"/>
  <c r="H252" i="2"/>
  <c r="H253" i="2"/>
  <c r="H254" i="2"/>
  <c r="H255" i="2"/>
  <c r="H257" i="2"/>
  <c r="H258" i="2"/>
  <c r="H261" i="2"/>
  <c r="H262" i="2"/>
  <c r="H263" i="2"/>
  <c r="H264" i="2"/>
  <c r="H265" i="2"/>
  <c r="H266" i="2"/>
  <c r="H267" i="2"/>
  <c r="H268" i="2"/>
  <c r="H269" i="2"/>
  <c r="H270" i="2"/>
  <c r="H271" i="2"/>
  <c r="H272" i="2"/>
  <c r="H273" i="2"/>
  <c r="H274" i="2"/>
  <c r="H275" i="2"/>
  <c r="H277" i="2"/>
  <c r="H278" i="2"/>
  <c r="H279" i="2"/>
  <c r="H280" i="2"/>
  <c r="H281" i="2"/>
  <c r="H282" i="2"/>
  <c r="H283" i="2"/>
  <c r="H284" i="2"/>
  <c r="H285" i="2"/>
  <c r="H286" i="2"/>
  <c r="H287" i="2"/>
  <c r="H288" i="2"/>
  <c r="H289" i="2"/>
  <c r="H290" i="2"/>
  <c r="H291" i="2"/>
  <c r="H292" i="2"/>
  <c r="H293" i="2"/>
  <c r="H294" i="2"/>
  <c r="H297" i="2"/>
  <c r="H300" i="2"/>
  <c r="H301" i="2"/>
  <c r="H305" i="2"/>
  <c r="H306" i="2"/>
  <c r="H307" i="2"/>
  <c r="H310" i="2"/>
  <c r="H311" i="2"/>
  <c r="H312" i="2"/>
  <c r="F46" i="2"/>
  <c r="H46" i="2" s="1"/>
  <c r="F65" i="2"/>
  <c r="H65" i="2" s="1"/>
  <c r="F71" i="2"/>
  <c r="H71" i="2" s="1"/>
  <c r="F77" i="2"/>
  <c r="H77" i="2" s="1"/>
  <c r="F120" i="2"/>
  <c r="H120" i="2" s="1"/>
  <c r="F162" i="2"/>
  <c r="H162" i="2" s="1"/>
  <c r="F236" i="2"/>
  <c r="H236" i="2" s="1"/>
  <c r="F239" i="2"/>
  <c r="H239" i="2" s="1"/>
  <c r="F247" i="2"/>
  <c r="H247" i="2" s="1"/>
  <c r="F250" i="2"/>
  <c r="H250" i="2" s="1"/>
  <c r="F260" i="2"/>
  <c r="H260" i="2" s="1"/>
  <c r="F299" i="2"/>
  <c r="H299" i="2" s="1"/>
  <c r="F303" i="2"/>
  <c r="H303" i="2" s="1"/>
  <c r="F308" i="2"/>
  <c r="H308" i="2" s="1"/>
  <c r="G259" i="2"/>
  <c r="H259" i="2" s="1"/>
  <c r="G237" i="2"/>
  <c r="G238" i="2" s="1"/>
  <c r="H238" i="2" s="1"/>
  <c r="F304" i="2"/>
  <c r="H304" i="2" s="1"/>
  <c r="F248" i="2"/>
  <c r="H248" i="2" s="1"/>
  <c r="H242" i="2"/>
  <c r="G143" i="2"/>
  <c r="H143" i="2" s="1"/>
  <c r="G98" i="2"/>
  <c r="H98" i="2" s="1"/>
  <c r="G79" i="2"/>
  <c r="H79" i="2" s="1"/>
  <c r="G78" i="2"/>
  <c r="H78" i="2" s="1"/>
  <c r="F28" i="2"/>
  <c r="H28" i="2" s="1"/>
  <c r="F23" i="2"/>
  <c r="H23" i="2" s="1"/>
  <c r="G25" i="2"/>
  <c r="H25" i="2" s="1"/>
  <c r="G24" i="2"/>
  <c r="H24" i="2" s="1"/>
  <c r="F314" i="2" l="1"/>
  <c r="G314" i="2"/>
  <c r="H237" i="2"/>
  <c r="H314" i="2" s="1"/>
</calcChain>
</file>

<file path=xl/sharedStrings.xml><?xml version="1.0" encoding="utf-8"?>
<sst xmlns="http://schemas.openxmlformats.org/spreadsheetml/2006/main" count="3335" uniqueCount="1335">
  <si>
    <t>Technology</t>
  </si>
  <si>
    <t>Wind Farm</t>
  </si>
  <si>
    <t>Hybrid - Wind &amp; BESS</t>
  </si>
  <si>
    <t>Wind Manufacturing</t>
  </si>
  <si>
    <t>Solar Farm</t>
  </si>
  <si>
    <t>Hybrid - Solar &amp; BESS</t>
  </si>
  <si>
    <t>Hybrid - Solar &amp; Wind</t>
  </si>
  <si>
    <t>Solar Manufacturing</t>
  </si>
  <si>
    <t>Hydro</t>
  </si>
  <si>
    <t>Grid Transmission</t>
  </si>
  <si>
    <t>Battery Manufacturing</t>
  </si>
  <si>
    <t>Battery Materials Manufacturing</t>
  </si>
  <si>
    <t>Battery Recycling</t>
  </si>
  <si>
    <t>BESS</t>
  </si>
  <si>
    <t>Waste-to-Energy</t>
  </si>
  <si>
    <t>Green Hydrogen</t>
  </si>
  <si>
    <t>NEVs</t>
  </si>
  <si>
    <t>Progress</t>
  </si>
  <si>
    <t>Announced</t>
  </si>
  <si>
    <t>FID</t>
  </si>
  <si>
    <t>Construction</t>
  </si>
  <si>
    <t>Operation</t>
  </si>
  <si>
    <t>Cancelled</t>
  </si>
  <si>
    <t>Mothballed</t>
  </si>
  <si>
    <t>Postponed</t>
  </si>
  <si>
    <t>Yes</t>
  </si>
  <si>
    <t>No</t>
  </si>
  <si>
    <t>Region</t>
  </si>
  <si>
    <t>North America</t>
  </si>
  <si>
    <t>Central &amp; South America</t>
  </si>
  <si>
    <t>Europe</t>
  </si>
  <si>
    <t>Central Asia</t>
  </si>
  <si>
    <t>Company</t>
  </si>
  <si>
    <t>Investment Partner</t>
  </si>
  <si>
    <t>Product</t>
  </si>
  <si>
    <t>Subnational Location</t>
  </si>
  <si>
    <t>Country</t>
  </si>
  <si>
    <t>Investment - Identified (US$m)</t>
  </si>
  <si>
    <t>Investment - Estimated (US$m)</t>
  </si>
  <si>
    <t>Est. Start of Production</t>
  </si>
  <si>
    <t>Source</t>
  </si>
  <si>
    <t>Binary</t>
  </si>
  <si>
    <t>Power China</t>
  </si>
  <si>
    <t>CEEC</t>
  </si>
  <si>
    <t>Sany</t>
  </si>
  <si>
    <t>China Southern Grid</t>
  </si>
  <si>
    <t>CK Infrastructure</t>
  </si>
  <si>
    <t>Mingyang</t>
  </si>
  <si>
    <t>CTG Brasil</t>
  </si>
  <si>
    <t>Goldwind</t>
  </si>
  <si>
    <t>Goldwind / ENGIE</t>
  </si>
  <si>
    <t>SDIC's Red Rock</t>
  </si>
  <si>
    <t>Envision</t>
  </si>
  <si>
    <t>Shenhua Clean Energy</t>
  </si>
  <si>
    <t>Huadong Power China</t>
  </si>
  <si>
    <t>n.a.</t>
  </si>
  <si>
    <t>Monsoon Wind Power</t>
  </si>
  <si>
    <t>CWP Global</t>
  </si>
  <si>
    <t>Power Beacon RE</t>
  </si>
  <si>
    <t xml:space="preserve">Samruk‑Energy </t>
  </si>
  <si>
    <t>ACWA Power (65%)</t>
  </si>
  <si>
    <t>Aviva Investors</t>
  </si>
  <si>
    <t>COPEL</t>
  </si>
  <si>
    <t>Red Sea Wind</t>
  </si>
  <si>
    <t>Heongtong Group</t>
  </si>
  <si>
    <t>Omni Energy</t>
  </si>
  <si>
    <t>ESB</t>
  </si>
  <si>
    <t>ERN Holding &amp; Yildizlar Group</t>
  </si>
  <si>
    <t>Hydro Tasmania</t>
  </si>
  <si>
    <t>Egypt</t>
  </si>
  <si>
    <t>Bangladesh</t>
  </si>
  <si>
    <t>Laos</t>
  </si>
  <si>
    <t>Philippines</t>
  </si>
  <si>
    <t>Serbia</t>
  </si>
  <si>
    <t>UK</t>
  </si>
  <si>
    <t>Brazil</t>
  </si>
  <si>
    <t>Georgia</t>
  </si>
  <si>
    <t>South Korea</t>
  </si>
  <si>
    <t>Scotland</t>
  </si>
  <si>
    <t>Australia</t>
  </si>
  <si>
    <t>Turkey</t>
  </si>
  <si>
    <t>Uzbekistan</t>
  </si>
  <si>
    <t>Kazakhstan</t>
  </si>
  <si>
    <t>Kungler 1 &amp; 2</t>
  </si>
  <si>
    <t>Bash &amp; Dzhankeldy, Bukhara region</t>
  </si>
  <si>
    <t>Pancevo</t>
  </si>
  <si>
    <t>Bor</t>
  </si>
  <si>
    <t>NSW</t>
  </si>
  <si>
    <t>Karaman</t>
  </si>
  <si>
    <t>Tasmania</t>
  </si>
  <si>
    <t>500MW wind farm</t>
  </si>
  <si>
    <t>65MW wind farm</t>
  </si>
  <si>
    <t>Construction of a 600MW wind farm &amp; 27km Grid</t>
  </si>
  <si>
    <t>Construction of a 300MW wind farm</t>
  </si>
  <si>
    <t>to construct a 400MW wind farm</t>
  </si>
  <si>
    <t>to construct a 1GW wind farm</t>
  </si>
  <si>
    <t>Acquisition of 168MW wind farm</t>
  </si>
  <si>
    <t>Acquiring a 35% stake in 1GW wind</t>
  </si>
  <si>
    <t>175MW of onshore wind farms</t>
  </si>
  <si>
    <t>240MW of onshore wind farms</t>
  </si>
  <si>
    <t>150MW  Serbia Black Peak Onshore Wind Farm</t>
  </si>
  <si>
    <t>648MW windfarm</t>
  </si>
  <si>
    <t>206MW onshore wind farm</t>
  </si>
  <si>
    <t>650MW onshore wind farm</t>
  </si>
  <si>
    <t>To supply 365MW of offshore turbines</t>
  </si>
  <si>
    <t>1.4GW wind, 200MW-2hr BESS</t>
  </si>
  <si>
    <t>1.1GW offshore wind farm</t>
  </si>
  <si>
    <t>232MW wind farm</t>
  </si>
  <si>
    <t>400MW onshore wind farm</t>
  </si>
  <si>
    <t>https://www.monsoonwindasia.com/news-and-updates-2/achieve-key-milestone-project-energization</t>
  </si>
  <si>
    <t>https://serbia-energy.eu/serbia-construction-of-300-mw-vetrozelena-wind-farm-near-pancevo-to-begin-soon/</t>
  </si>
  <si>
    <t>https://renewables.az/en/news/samruk-energy-and-china-energy-advance-800-mw-renewable-projects-in-kazakhstan</t>
  </si>
  <si>
    <t>https://finance.sina.com.cn/roll/2025-04-05/doc-inesapiy3801618.shtml</t>
  </si>
  <si>
    <t>https://renewablesnow.com/news/nordic-renewables-firm-emergy-to-sell-168-mw-wind-project-in-serbia-1271365/</t>
  </si>
  <si>
    <t>https://asian-power.com/project/news/acwa-powers-1-gw-wind-portfolio-in-uzbekistan-reaches-full-commercial-operations</t>
  </si>
  <si>
    <t>https://serbia-energy.eu/black-peak-150mw-wind-park-construction-pushed-forward-with-new-chinese-owners/</t>
  </si>
  <si>
    <t>https://www.ctg.com.cn/ctgenglish/news_media/news37/2025012613205432520/index.html</t>
  </si>
  <si>
    <t>https://www.windtech-international.com/projects-and-contracts/goldwind-completes-500mw-red-sea-wind-farm-in-egypt</t>
  </si>
  <si>
    <t>https://www.inchcapewind.com/scottish-flagship-offshore-wind-project-inch-cape-reaches-financial-clos/</t>
  </si>
  <si>
    <t>https://reneweconomy.com.au/envision-energy-makes-landmark-entry-into-turkey/</t>
  </si>
  <si>
    <t>Conversions</t>
  </si>
  <si>
    <t>GBP to USD</t>
  </si>
  <si>
    <t>EUR to USD</t>
  </si>
  <si>
    <t>AUD to USD</t>
  </si>
  <si>
    <t>FX</t>
  </si>
  <si>
    <t>JPY to USD</t>
  </si>
  <si>
    <t>Shanghai Electric</t>
  </si>
  <si>
    <t>Sinowind</t>
  </si>
  <si>
    <t>Renexia</t>
  </si>
  <si>
    <t>Unison</t>
  </si>
  <si>
    <t>RELC &amp; Vision</t>
  </si>
  <si>
    <t>Samruk Energy and Kazakhstan Utility Systems</t>
  </si>
  <si>
    <t>ACWA Power</t>
  </si>
  <si>
    <t>AM Green</t>
  </si>
  <si>
    <t>Mawarid Turbine</t>
  </si>
  <si>
    <t>Italy</t>
  </si>
  <si>
    <t>Saudi Arabia</t>
  </si>
  <si>
    <t>India</t>
  </si>
  <si>
    <t>Camacari</t>
  </si>
  <si>
    <t>Oman</t>
  </si>
  <si>
    <t>Sezad</t>
  </si>
  <si>
    <t>News Update</t>
  </si>
  <si>
    <t>https://renewablesnow.com/news/renexia-mingyang-ink-pact-for-eur-500m-wind-turbine-factory-in-italy-865811/</t>
  </si>
  <si>
    <t>https://renewablesnow.com/news/mingyang-sets-up-wind-turbine-manufacturing-jv-in-s-korea-867980/</t>
  </si>
  <si>
    <t>https://renews.biz/97329/room-for-mingyang-scottish-factory/</t>
  </si>
  <si>
    <t>https://renewablesnow.com/news/goldwind-inaugurates-factory-in-brazils-bahia-1st-outside-china-867206/</t>
  </si>
  <si>
    <t>https://www.pif.gov.sa/en/news-and-insights/press-releases/2024/pif-strengthens-renewable-energy-localization-in-saudi-arabia-with-three-new-joint-ventures/</t>
  </si>
  <si>
    <t>https://www.power-technology.com/news/envision-wind-turbine-energy-storage-kazakhstan/</t>
  </si>
  <si>
    <t>https://www.rechargenews.com/markets-and-finance/chinas-envision-closes-wind-turbine-factories-and-supply-deal-with-saudi-giant/2-1-1895562</t>
  </si>
  <si>
    <t>https://www.rechargenews.com/energy-transition/second-chinese-wind-turbine-maker-unveils-kazakhstan-factory-plan/2-1-1747090</t>
  </si>
  <si>
    <t xml:space="preserve">https://www.omanobserver.om/article/1168994/business/economy/wind-turbines-factory-launched-in-sezad </t>
  </si>
  <si>
    <t>https://kun.uz/en/news/2024/11/05/chinas-sino-wind-energy-plans-wind-turbine-blade-production-plant-in-uzbekistan</t>
  </si>
  <si>
    <t>https://interfax.com/newsroom/top-stories/108177/</t>
  </si>
  <si>
    <t>Offshore wind turbines</t>
  </si>
  <si>
    <t>Onshore wind turbines - 0.9GW pa</t>
  </si>
  <si>
    <t>4GW pa of onshore wind turbines</t>
  </si>
  <si>
    <t>Onshore wind turbines - 2GW pa &amp; BESS</t>
  </si>
  <si>
    <t>Onshore wind turbine mfg</t>
  </si>
  <si>
    <t>Onshore wind turbines - 1GW pa</t>
  </si>
  <si>
    <t>Onshore wind turbines</t>
  </si>
  <si>
    <t>China International Water (CWE) </t>
  </si>
  <si>
    <t>GD Power</t>
  </si>
  <si>
    <t>China Three Gorges</t>
  </si>
  <si>
    <t>SPIC</t>
  </si>
  <si>
    <t>Dongfeng Electric</t>
  </si>
  <si>
    <t>China General Nuclear</t>
  </si>
  <si>
    <t>United Energy Group</t>
  </si>
  <si>
    <t>Jinko Solar</t>
  </si>
  <si>
    <t>China Power Eng.</t>
  </si>
  <si>
    <t>China Harbour</t>
  </si>
  <si>
    <t>Canadian Solar</t>
  </si>
  <si>
    <t>China Datang</t>
  </si>
  <si>
    <t>CSCEC</t>
  </si>
  <si>
    <t>Trinasolar</t>
  </si>
  <si>
    <t>JA Solar</t>
  </si>
  <si>
    <t>TCL Zhonghuan</t>
  </si>
  <si>
    <t>Flat Glass Group</t>
  </si>
  <si>
    <t>Xinyi Glass Holdings Ltd</t>
  </si>
  <si>
    <t>LONGi</t>
  </si>
  <si>
    <t>Tongwei</t>
  </si>
  <si>
    <t>Risen Energy</t>
  </si>
  <si>
    <t>GCL</t>
  </si>
  <si>
    <t>Hongjun New Energy / SoleFiori</t>
  </si>
  <si>
    <t>Ningbo Deye Tech.</t>
  </si>
  <si>
    <t xml:space="preserve">Hainan Drinda New Energy Technology </t>
  </si>
  <si>
    <t>Imperial Star Solar</t>
  </si>
  <si>
    <t>SolarSpace</t>
  </si>
  <si>
    <t xml:space="preserve">Zhongrun Solar </t>
  </si>
  <si>
    <t>China Lesso Group</t>
  </si>
  <si>
    <t>DAS Solar</t>
  </si>
  <si>
    <t>New East Solar</t>
  </si>
  <si>
    <t>CHINT Group Astronergy</t>
  </si>
  <si>
    <t>Hainan Drinda New Energy</t>
  </si>
  <si>
    <t>Sunman / Bila Solar</t>
  </si>
  <si>
    <t>Huzhou Zhongdian Solar</t>
  </si>
  <si>
    <t>Sunrev Solar</t>
  </si>
  <si>
    <t>SoleFiori</t>
  </si>
  <si>
    <t>Elite Solar</t>
  </si>
  <si>
    <t>GoodWe</t>
  </si>
  <si>
    <t>Growatt</t>
  </si>
  <si>
    <t>Sinomach - China National Machinery Industry Corp.</t>
  </si>
  <si>
    <t>China Southern Power Grid</t>
  </si>
  <si>
    <t>China State Grid</t>
  </si>
  <si>
    <t>Southern Power Grid</t>
  </si>
  <si>
    <t>China Nuclear Industry Huaxing Construction (HXCC)</t>
  </si>
  <si>
    <t>Ayala Corp.</t>
  </si>
  <si>
    <t>MASDAR &amp; KEPCO</t>
  </si>
  <si>
    <t>ACWA &amp; Aramco</t>
  </si>
  <si>
    <t>ACWA &amp; PIF</t>
  </si>
  <si>
    <t>TotalEnergies</t>
  </si>
  <si>
    <t>Kazakhstan Govt.</t>
  </si>
  <si>
    <t>Masdar</t>
  </si>
  <si>
    <t>Green Profit</t>
  </si>
  <si>
    <t>EDF &amp; TAQA</t>
  </si>
  <si>
    <t>Tianjin Electric</t>
  </si>
  <si>
    <t>Botswana Electricity</t>
  </si>
  <si>
    <t>EDF Renewables</t>
  </si>
  <si>
    <t>YEO Technology (Turkey)</t>
  </si>
  <si>
    <t>SOCAR Green</t>
  </si>
  <si>
    <t>Meralco &amp; SPNEC</t>
  </si>
  <si>
    <t>ERA Singapore</t>
  </si>
  <si>
    <t>Bright Path Renewables</t>
  </si>
  <si>
    <t>SK Ecoplant Co</t>
  </si>
  <si>
    <t>PLN &amp; Sinar Mas</t>
  </si>
  <si>
    <t>EU Innovation Fund</t>
  </si>
  <si>
    <t>KEZAD Group</t>
  </si>
  <si>
    <t xml:space="preserve"> UAE's Global South Utilities </t>
  </si>
  <si>
    <t>Sohar Free Trade Zone</t>
  </si>
  <si>
    <t>CSI Solar Co</t>
  </si>
  <si>
    <t>Invenergy, US</t>
  </si>
  <si>
    <t>Pertamina</t>
  </si>
  <si>
    <t>Mubadala Investment</t>
  </si>
  <si>
    <t>Alfa Solar of Turkey</t>
  </si>
  <si>
    <t>Schmid Pekintas Energy</t>
  </si>
  <si>
    <t>Hoang Thinh Dat JSC</t>
  </si>
  <si>
    <t>Saudi Arabia’s Ministry of Industry</t>
  </si>
  <si>
    <t>China Energy</t>
  </si>
  <si>
    <t>EDL-T</t>
  </si>
  <si>
    <t>Chilean partners</t>
  </si>
  <si>
    <t>SOE/Gov Partner</t>
  </si>
  <si>
    <t>JV</t>
  </si>
  <si>
    <t>Algeria</t>
  </si>
  <si>
    <t>UAE</t>
  </si>
  <si>
    <t>Argentina</t>
  </si>
  <si>
    <t>Tanzania</t>
  </si>
  <si>
    <t>Peru</t>
  </si>
  <si>
    <t>Botswana</t>
  </si>
  <si>
    <t>Romania</t>
  </si>
  <si>
    <t>Azerbaijan</t>
  </si>
  <si>
    <t>Indonesia</t>
  </si>
  <si>
    <t>Spain</t>
  </si>
  <si>
    <t>Ethiopia</t>
  </si>
  <si>
    <t>Eygpt</t>
  </si>
  <si>
    <t>Nigeria</t>
  </si>
  <si>
    <t>Thailand</t>
  </si>
  <si>
    <t>Malaysia</t>
  </si>
  <si>
    <t>Vietnam</t>
  </si>
  <si>
    <t>Uganda</t>
  </si>
  <si>
    <t>Pakistan</t>
  </si>
  <si>
    <t>Cambodia</t>
  </si>
  <si>
    <t>Chile</t>
  </si>
  <si>
    <t>370MW of solar across 2 farms</t>
  </si>
  <si>
    <t>780MW of solar across 5 farms</t>
  </si>
  <si>
    <t>1,500MW solar farm construction</t>
  </si>
  <si>
    <t>584MW solar farm</t>
  </si>
  <si>
    <t>315MW solar farm</t>
  </si>
  <si>
    <t>163MW solar farm + 22MW BESS</t>
  </si>
  <si>
    <t>480MW solar farm</t>
  </si>
  <si>
    <t>425MW solar farm</t>
  </si>
  <si>
    <t>2GW solar farm</t>
  </si>
  <si>
    <t>2,600MW of solar farm</t>
  </si>
  <si>
    <t>2,000MW solar farm construction</t>
  </si>
  <si>
    <t>1,000MW solar farm construction</t>
  </si>
  <si>
    <t>1,000MW of solar across 2 farms</t>
  </si>
  <si>
    <t>220MW solar farm</t>
  </si>
  <si>
    <t>200MW solar farm</t>
  </si>
  <si>
    <t>160MW solar farm</t>
  </si>
  <si>
    <t>300MW solar farm + 90MW/360MWh BESS</t>
  </si>
  <si>
    <t>Arinos 412MW solar farm</t>
  </si>
  <si>
    <t>Arrow 40MW solar farm</t>
  </si>
  <si>
    <t>Acquired a 494MW solar farm</t>
  </si>
  <si>
    <t>511MW solar across 2 farms</t>
  </si>
  <si>
    <t>250MW solar farm</t>
  </si>
  <si>
    <t>1,500MW solar farm</t>
  </si>
  <si>
    <t>100MW solar farm</t>
  </si>
  <si>
    <t>won 2 PPA to build 1.4GW of solar</t>
  </si>
  <si>
    <t>300MW solar farm</t>
  </si>
  <si>
    <t>129MW solar farm</t>
  </si>
  <si>
    <t>CEEC is EPC for a 4.5GWh BESS</t>
  </si>
  <si>
    <t>900MW Solar +1.2GWh BESS</t>
  </si>
  <si>
    <t>250MW solar farm +600MWh BESS</t>
  </si>
  <si>
    <t>400W solar, 400MW-2hr BESS</t>
  </si>
  <si>
    <t>134W solar, 360MW-4hr BESS</t>
  </si>
  <si>
    <t>a 500MW solar and 278MW wind farm</t>
  </si>
  <si>
    <t>1GW modules pa =&gt;3GW pa</t>
  </si>
  <si>
    <t>5GW modules pa</t>
  </si>
  <si>
    <t>1.5GW modules pa</t>
  </si>
  <si>
    <t>5GW cells + Modules pa + 50ktpa</t>
  </si>
  <si>
    <t>3GW pa Solar trackers manufacturing</t>
  </si>
  <si>
    <t>2GW modules pa</t>
  </si>
  <si>
    <t>2GW cell / 2GW modules pa + BESS</t>
  </si>
  <si>
    <t>6GW cell / 3GW modules pa</t>
  </si>
  <si>
    <t>10GW cell / 10GW modules pa</t>
  </si>
  <si>
    <t>Solar module manufacturing - 4GW pa</t>
  </si>
  <si>
    <t>5GW cells pa</t>
  </si>
  <si>
    <t>Mfg of solar modules and BESS</t>
  </si>
  <si>
    <t>20GW solar wafers pa</t>
  </si>
  <si>
    <t>1Mtpa of flat glass for solar modules</t>
  </si>
  <si>
    <t>quartz sand processing plant - on hold</t>
  </si>
  <si>
    <t>Float glass for solar 600ktpa</t>
  </si>
  <si>
    <t xml:space="preserve">Solar glass manufacturing </t>
  </si>
  <si>
    <t>9GW modules pa</t>
  </si>
  <si>
    <t>1.4GW solar cells &amp; modules pa</t>
  </si>
  <si>
    <t>4GW cell / 4GW modules pa</t>
  </si>
  <si>
    <t>120ktpa polysilicon</t>
  </si>
  <si>
    <t>6GW HJT solar modules pa</t>
  </si>
  <si>
    <t>Inverter and BESS manufacturing</t>
  </si>
  <si>
    <t>2.5GW modules pa</t>
  </si>
  <si>
    <t>4GW wafers pa</t>
  </si>
  <si>
    <t>15GW cells &amp; 3GW modules pa</t>
  </si>
  <si>
    <t>5GW solar cell factory</t>
  </si>
  <si>
    <t>2.4GW solar modules pa</t>
  </si>
  <si>
    <t>3GW modules pa</t>
  </si>
  <si>
    <t>5GW Cell pa</t>
  </si>
  <si>
    <t>5G solar wafers pa</t>
  </si>
  <si>
    <t>Solar wafer &amp; cell manufacturing - 3GW</t>
  </si>
  <si>
    <t>Solar module manufacturing - 850MW pa</t>
  </si>
  <si>
    <t>Solar cell manufacturing - 5GW pa</t>
  </si>
  <si>
    <t>Solar cell manufacturing - 10GW pa</t>
  </si>
  <si>
    <t xml:space="preserve">Solar cell manufacturing </t>
  </si>
  <si>
    <t>Solar module manufacturing - 14GW</t>
  </si>
  <si>
    <t>1GW solar module manufacturing</t>
  </si>
  <si>
    <t>solar module manufacturing</t>
  </si>
  <si>
    <t>2GW solar cell and module mfg</t>
  </si>
  <si>
    <t>6GW HJT modules pa</t>
  </si>
  <si>
    <t xml:space="preserve">Module manufacturing </t>
  </si>
  <si>
    <t>Solar inverters - 5GW pa</t>
  </si>
  <si>
    <t>Hydro-electricity - 600MW</t>
  </si>
  <si>
    <t>Hydro-electricity - 2,115MW</t>
  </si>
  <si>
    <t>Hydro-electricity - 884MW</t>
  </si>
  <si>
    <t>Hydro-electricity - 209MW</t>
  </si>
  <si>
    <t>Hydro-electricity - 78MW</t>
  </si>
  <si>
    <t>PHS</t>
  </si>
  <si>
    <t>Hydro - 800MW suspended</t>
  </si>
  <si>
    <t>184km subsea cable</t>
  </si>
  <si>
    <t>2*1,500km grid transmission lines</t>
  </si>
  <si>
    <t>184km 500kV 1.5GW grid transmission line</t>
  </si>
  <si>
    <t>1,342km grid transmission line</t>
  </si>
  <si>
    <t>Progressive</t>
  </si>
  <si>
    <t>2024/25</t>
  </si>
  <si>
    <t>2H2026</t>
  </si>
  <si>
    <t>various</t>
  </si>
  <si>
    <t>https://www.enerdata.net/publications/daily-energy-news/algeria-unveils-winners-its-2-gw-solar-auction-chinese-firms-dominate.html</t>
  </si>
  <si>
    <t>https://en.powerchina.cn/2025-09/15/c_828999.htm</t>
  </si>
  <si>
    <t xml:space="preserve">https://solarquarter.com/2025/04/16/shanghai-electric-joins-masdar-for-saudi-arabias-al-sadawi-solar-project/ </t>
  </si>
  <si>
    <t>https://www.seetaoe.com/details/248621.html?utm_source=chatgpt.com</t>
  </si>
  <si>
    <t>https://www.ctg.com.cn/ctgenglish/news_media/news37/2025022413350094568/index.html</t>
  </si>
  <si>
    <t>https://www.ctg.com.cn/ctgenglish/news_media/news37/2024110813465078869/index.html</t>
  </si>
  <si>
    <t>https://renewablesnow.com/news/china-three-gorges-to-buy-494-mw-solar-farm-in-spain-report-1268752/</t>
  </si>
  <si>
    <t>https://www.pv-magazine.com/2024/12/06/edf-renewables-spic-win-1-4-gw-of-solar-projects-in-saudi-arabia/?utm_source=dlvr.it&amp;utm_medium=linkedin</t>
  </si>
  <si>
    <t>https://investors.canadiansolar.com/news-releases/news-release-details/recurrent-energy-signs-300-mw-power-purchase-agreement-major-us</t>
  </si>
  <si>
    <t>https://balkangreenenergynews.com/turkish-chinese-joint-venture-to-build-two-pv-plants-in-romania/</t>
  </si>
  <si>
    <t>https://interfax.com/newsroom/top-stories/114796/</t>
  </si>
  <si>
    <t>https://www.pv-magazine-australia.com/2024/11/22/worlds-largest-3-5-gw-terra-solar-project-breaks-ground-in-the-philippines/?utm_source=dlvr.it&amp;utm_medium=linkedin</t>
  </si>
  <si>
    <t>https://www.pv-magazine.com/2025/10/28/singapore-china-to-supply-solar-plus-storage-power-from-indonesia/</t>
  </si>
  <si>
    <t xml:space="preserve">https://www.pv-magazine-australia.com/2025/09/24/jinko-secures-federal-green-tick-for-solar-and-battery-project/ </t>
  </si>
  <si>
    <t>https://www.straitstimes.com/multimedia/graphics/2025/03/china-great-green-march-globe/index.html?shell</t>
  </si>
  <si>
    <t>https://taiyangnews.info/markets/eu-4th-innovation-fund-solar-winners</t>
  </si>
  <si>
    <t>https://taiyangnews.info/markets/trina-solar-to-make-big-move-to-the-middle-east</t>
  </si>
  <si>
    <t>https://www.pvtime.org/trinatracker-to-open-manufacturing-plant-in-saudi-arabia-further-advancing-its-localization-strategy/</t>
  </si>
  <si>
    <t>https://list.solar/news/ja-solar-launches/</t>
  </si>
  <si>
    <t>https://www.bloomberg.com/news/articles/2025-05-16/china-s-solar-firms-to-speed-up-global-push-under-tariff-truce?cmpid=BBD051625_GREENDAILY&amp;utm_medium=email&amp;utm_source=newsletter&amp;utm_term=250516&amp;utm_campaign=greendaily</t>
  </si>
  <si>
    <t>https://vir.com.vn/hainan-drinda-new-energy-enters-vietnam-with-450-million-solar-project-110187.html&amp;link=autochanger</t>
  </si>
  <si>
    <t>https://investors.canadiansolar.com/news-releases/news-release-details/canadian-solar-announces-us-module-manufacturing-facility</t>
  </si>
  <si>
    <t>https://investors.canadiansolar.com/static-files/fdc3b1b0-c609-4d9e-9ca8-54619c7e6d40</t>
  </si>
  <si>
    <t>https://www.reuters.com/article/legal/government/chinas-xinyi-to-invest-115-billion-in-indonesia-factory-indonesian-minister-idUSL4N39E2UZ/</t>
  </si>
  <si>
    <t>https://www.facebook.com/xinyiglassmirror/videos/on-january-18-2025-xinyi-glasss-industrial-park-in-indonesia-successfully-commen/853220776828988/</t>
  </si>
  <si>
    <t>https://solarabic.com/%D8%A3%D8%AE%D8%A8%D8%A7%D8%B1-%D8%A7%D9%84%D8%B7%D8%A7%D9%82%D8%A9-%D8%A7%D9%84%D9%85%D8%AA%D8%AC%D8%AF%D8%AF%D8%A9/2025/03/%D9%85%D8%B5%D9%86%D8%B9-%D8%B2%D8%AC%D8%A7%D8%AC-%D8%A7%D9%84%D8%A3%D9%84%D9%88%D8%A7%D8%AD-%D8%A7%D9%84%D8%B4%D9%85%D8%B3%D9%8A%D8%A9-%D9%85%D8%B5%D8%B1/</t>
  </si>
  <si>
    <t xml:space="preserve">https://www.ft.com/content/5a49c5dc-0d65-45d1-ab9a-66d8a7e71b56 </t>
  </si>
  <si>
    <t xml:space="preserve">https://www.pv-tech.org/longi-to-build-1-4gw-bc-solar-module-factory-with-indonesias-pertamina/ </t>
  </si>
  <si>
    <t>https://energy.gov.ng/news-detail.php?slug=nigeria-finalises-partnership-with-the-world-s-largest-solar-panel-production-company-longi-at-its-headquarters-in-china</t>
  </si>
  <si>
    <t>https://www.pv-tech.org/risen-energy-to-set-up-us10-2bn-solar-manufacturing-plant-in-malaysia/#:~:text=Risen%20modules%20in%20operation%20at,first%20five%20years%20of%20operation.</t>
  </si>
  <si>
    <t>https://taiyangnews.info/business/chinese-polysilicon-company-eyeing-middle-east</t>
  </si>
  <si>
    <t>https://www.pv-tech.org/gcl-polysilicon-middle-east/</t>
  </si>
  <si>
    <t>https://www.pv-magazine.com/2025/09/29/chinas-solefiori-to-build-6-gw-hjt-solar-module-factory-in-saudi-arabia/</t>
  </si>
  <si>
    <t>https://www.pv-magazine.com/2024/12/17/chinese-pv-industry-brief-deye-to-build-inverter-factory-in-malaysia/?utm_source=dlvr.it&amp;utm_medium=linkedin</t>
  </si>
  <si>
    <t>https://www.pv-magazine.com/2024/11/18/thornova-solar-starts-solar-module-production-in-indonesia/</t>
  </si>
  <si>
    <t>https://soharportandfreezone.om/en/who-we-are/about-sohar</t>
  </si>
  <si>
    <t>https://www.imperialstar.com/post/imperial-star-solar-s-strategic-expansion-launching-a-new-wafer-factory-in-laos-to-complete-our-int</t>
  </si>
  <si>
    <t>https://taiyangnews.info/opinion/solarspace-promotes-laos-made-cells-us-module-makers-re-2024</t>
  </si>
  <si>
    <t>https://www.thestar.com.my/aseanplus/aseanplus-news/2023/09/26/chinese-company-launches-5gw-high-efficiency-solar-cell-project-in-laos</t>
  </si>
  <si>
    <t>https://taiyangnews.info/markets/china-solar-pv-news-snippets-94</t>
  </si>
  <si>
    <t>https://www.pv-magazine.com/2024/11/19/das-solar-to-build-3-gw-solar-module-factory-in-france/</t>
  </si>
  <si>
    <t>https://www.pv-magazine.com/2025/04/24/das-solar-plans-3-gw-solar-module-factory-in-france/</t>
  </si>
  <si>
    <t>http://www.nesolar.com.kh/?content/176</t>
  </si>
  <si>
    <t>https://www.pv-magazine.com/press-releases/astronergy-thailand-manufacturing-base-perfects-its-industry-chain-with-wafer-lines/</t>
  </si>
  <si>
    <t>https://www.pv-magazine.com/2025/04/02/astronergy-to-build-500-million-solar-cell-factory-in-turkey/</t>
  </si>
  <si>
    <t>https://www.pv-magazine.com/2025/06/09/drinda-schmid-pekintas-to-build-5-gw-solar-cell-plant-in-turkey/</t>
  </si>
  <si>
    <t>https://chinaglobalsouth.com/analysis/china-ethiopia-solar-investments-clean-energy-peace-stability/</t>
  </si>
  <si>
    <t>https://pv-magazine-usa.com/2025/03/28/global-path-leads-to-solar-manufacturing-in-indianapolis/</t>
  </si>
  <si>
    <t xml:space="preserve">https://www.bloomberg.com/news/articles/2025-07-25/china-s-stealthy-solar-exports-stay-one-step-ahead-of-us-tariffs?cmpid=BBD072525_GREENDAILY&amp;utm_medium=email&amp;utm_source=newsletter&amp;utm_term=250725&amp;utm_campaign=greendaily </t>
  </si>
  <si>
    <t>https://www.pv-magazine.com/2025/06/23/chinas-sunrev-solar-builds-2-gw-solar-cell-module-factory-in-egypt/</t>
  </si>
  <si>
    <t>https://www.pv-tech.org/chinas-solefiori-to-build-6gw-hjt-module-factory-in-saudi-arabia/</t>
  </si>
  <si>
    <t>https://renewablesnow.com/news/chinas-elite-solar-breaks-ground-on-2-gw-solar-factory-in-egypt-1268329/</t>
  </si>
  <si>
    <t>https://en.goodwe.com/goodwe-officially-announces-inauguration-of-first-overseas-manufacturing-base-a-globalization-milestone#:~:text=Daniel%20Huang%20said%2C%20“We%20are,suppliers%20worldwide%20by%20Wood%20Mackenzie.</t>
  </si>
  <si>
    <t>https://english.news.cn/africa/20250406/3ea12c4b1b6e4fdc9911d2968aeee9c3/c.html</t>
  </si>
  <si>
    <t>https://www.theasset.com/article/47391/chinas-ctg-raises-stake-in-peru-hydro-project-to-100</t>
  </si>
  <si>
    <t>https://www.yicaiglobal.com/news/chinas-sinomach-to-add-usd996-million-hydroelectric-power-station-in-cambodia</t>
  </si>
  <si>
    <t>https://www.hydroreview.com/hydro-industry-news/new-development/congo-brazzaville-to-build-9-4-billion-hydro-powerhouse-dam/</t>
  </si>
  <si>
    <t>https://www.enel.com/media/explore/search-press-releases/press/2024/06/enel-finalized-agreement-signed-in-april-2023-relating-to-distribution-assets-in-peru-</t>
  </si>
  <si>
    <t>https://www.worldconstructionnetwork.com/news/state-grid-brazil-holding-construction-electricity-transmission-project/</t>
  </si>
  <si>
    <t xml:space="preserve">https://kpl.gov.la/EN/detail.aspx?id=89662# </t>
  </si>
  <si>
    <t>https://fundacionandresbello.org/en/news/chile-🇨🇱-news/china-southern-power-in-talks-to-acquire-majority-stake-in-chiles-transelec/</t>
  </si>
  <si>
    <t>https://www.bnamericas.com/en/features/permitting-nod-for-us15bn-chile-hvdc-power-line-a-key-milestone</t>
  </si>
  <si>
    <t>CATL</t>
  </si>
  <si>
    <t xml:space="preserve">Gotion High-Tech </t>
  </si>
  <si>
    <t>EVE Energy</t>
  </si>
  <si>
    <t>Envision AESC</t>
  </si>
  <si>
    <t>SVOLT</t>
  </si>
  <si>
    <t>Sunwoda</t>
  </si>
  <si>
    <t>CALB</t>
  </si>
  <si>
    <t>Ganfeng Lithium</t>
  </si>
  <si>
    <t>Farasis Energy</t>
  </si>
  <si>
    <t>Junda Shares</t>
  </si>
  <si>
    <t>REPT Battero</t>
  </si>
  <si>
    <t>Geely's Volvo</t>
  </si>
  <si>
    <t>Zhuhai CosMX</t>
  </si>
  <si>
    <t>KunlunChem</t>
  </si>
  <si>
    <t>Morlus</t>
  </si>
  <si>
    <t>Xiamen Hithium Energy Storage Technology</t>
  </si>
  <si>
    <t>Shanghai Shanshan</t>
  </si>
  <si>
    <t>Shanghai Putailai</t>
  </si>
  <si>
    <t>Zhejiang Huayou Cobalt</t>
  </si>
  <si>
    <t>BYD</t>
  </si>
  <si>
    <t xml:space="preserve">Sinomine Resource Group </t>
  </si>
  <si>
    <t>BTR New Material</t>
  </si>
  <si>
    <t>Permanent Minerals</t>
  </si>
  <si>
    <t>Zhejiang Hailiang</t>
  </si>
  <si>
    <t>CNGR Advanced Material</t>
  </si>
  <si>
    <t>Hunan Zhongke Electric Shinzoom</t>
  </si>
  <si>
    <t>Tianci Materials Technology</t>
  </si>
  <si>
    <t>Hunan Changyuan Lico (China) industrial</t>
  </si>
  <si>
    <t>XTC New Energy</t>
  </si>
  <si>
    <t xml:space="preserve">Ningbo Ronbay Technologies </t>
  </si>
  <si>
    <t>Hunan Yuneng</t>
  </si>
  <si>
    <t>Shenzhen Dynamonic</t>
  </si>
  <si>
    <t xml:space="preserve"> KunlunChem</t>
  </si>
  <si>
    <t>Jiangsu Lopal Tech</t>
  </si>
  <si>
    <t>GEM Co.</t>
  </si>
  <si>
    <t>Wanrun New Energy</t>
  </si>
  <si>
    <t>Shandong Yulong Gold</t>
  </si>
  <si>
    <t>Huayou Cobalt (35%)</t>
  </si>
  <si>
    <t>Sungrow</t>
  </si>
  <si>
    <t>Envison</t>
  </si>
  <si>
    <t>Harbin Electric</t>
  </si>
  <si>
    <t>Hauawei Digital</t>
  </si>
  <si>
    <t xml:space="preserve">Hithium </t>
  </si>
  <si>
    <t>China Tianying</t>
  </si>
  <si>
    <t>China Everbright</t>
  </si>
  <si>
    <t>Chengdu Environmental Group</t>
  </si>
  <si>
    <t>CECEP Group</t>
  </si>
  <si>
    <t>Longi</t>
  </si>
  <si>
    <t>GWM</t>
  </si>
  <si>
    <t>Chery</t>
  </si>
  <si>
    <t>Changan Auto</t>
  </si>
  <si>
    <t>Geely</t>
  </si>
  <si>
    <t>Geely's Polstar</t>
  </si>
  <si>
    <t>Xpeng</t>
  </si>
  <si>
    <t>Leapmotor</t>
  </si>
  <si>
    <t>Human Horizons</t>
  </si>
  <si>
    <t>Ford</t>
  </si>
  <si>
    <t>Tesla</t>
  </si>
  <si>
    <t>GM / TDK</t>
  </si>
  <si>
    <t>Antam / IBC</t>
  </si>
  <si>
    <t>Stellantis</t>
  </si>
  <si>
    <t>PTT's Arun Plus</t>
  </si>
  <si>
    <t>PTT Group</t>
  </si>
  <si>
    <t>VinFast</t>
  </si>
  <si>
    <t>CDG Group (SOE)</t>
  </si>
  <si>
    <t>Tata AutoComp</t>
  </si>
  <si>
    <t>Invest Kedah</t>
  </si>
  <si>
    <t xml:space="preserve">Energy Absolute </t>
  </si>
  <si>
    <t>Cummins, Paccar</t>
  </si>
  <si>
    <t>Banpu Next</t>
  </si>
  <si>
    <t>Yigit Aku</t>
  </si>
  <si>
    <t>NOVO Energy</t>
  </si>
  <si>
    <t>Proterra Inc.</t>
  </si>
  <si>
    <t>Elinor of Norway</t>
  </si>
  <si>
    <t xml:space="preserve">LotisEdge </t>
  </si>
  <si>
    <t>Manat</t>
  </si>
  <si>
    <t>Imerys France</t>
  </si>
  <si>
    <t>Sulawesi Nickel Cobalt</t>
  </si>
  <si>
    <t>Anugrah Neo Mat.</t>
  </si>
  <si>
    <t>Tsingshan</t>
  </si>
  <si>
    <t>ASX-listed Evolution Mining</t>
  </si>
  <si>
    <t>investment fund Al Mada</t>
  </si>
  <si>
    <t>CNGR Finland</t>
  </si>
  <si>
    <t>Axens Group</t>
  </si>
  <si>
    <t>Orano</t>
  </si>
  <si>
    <t>ICL Group Israel</t>
  </si>
  <si>
    <t>SK on / Ecopro Materials</t>
  </si>
  <si>
    <t>Vale Brazil</t>
  </si>
  <si>
    <t>YLB Mining</t>
  </si>
  <si>
    <t>Triton Minerals</t>
  </si>
  <si>
    <t>POSCO HY (65%)</t>
  </si>
  <si>
    <t>Low Carbon</t>
  </si>
  <si>
    <t>Atlas Renewables</t>
  </si>
  <si>
    <t>Nova Scotia Power</t>
  </si>
  <si>
    <t>Ministry of Investment</t>
  </si>
  <si>
    <t>Progresiva, Turkey</t>
  </si>
  <si>
    <t>Generali, Italy</t>
  </si>
  <si>
    <t>Grenergy</t>
  </si>
  <si>
    <t xml:space="preserve">Penso Power/Luminous </t>
  </si>
  <si>
    <t>Spearmint Energy</t>
  </si>
  <si>
    <t>Algihaz</t>
  </si>
  <si>
    <t>Samsung C&amp;T</t>
  </si>
  <si>
    <t xml:space="preserve">PT Maharaksa Biru Energi </t>
  </si>
  <si>
    <t>Magic Crystal</t>
  </si>
  <si>
    <t>Jameel Energy FRV</t>
  </si>
  <si>
    <t>United Engineering Services</t>
  </si>
  <si>
    <t>Local partners</t>
  </si>
  <si>
    <t>APPL Hydrogen Ltd</t>
  </si>
  <si>
    <t>Rever Auto</t>
  </si>
  <si>
    <t>UzAuto</t>
  </si>
  <si>
    <t>FORVIA of France</t>
  </si>
  <si>
    <t>Ebro-EV Motors</t>
  </si>
  <si>
    <t>Aston Martin</t>
  </si>
  <si>
    <t>Renault</t>
  </si>
  <si>
    <t>PT Handal Indonesia Motor</t>
  </si>
  <si>
    <t>US</t>
  </si>
  <si>
    <t>Finland</t>
  </si>
  <si>
    <t>Germany</t>
  </si>
  <si>
    <t>Greer, South Carolina</t>
  </si>
  <si>
    <t>Norway</t>
  </si>
  <si>
    <t>Canada</t>
  </si>
  <si>
    <t>Zimbabwe</t>
  </si>
  <si>
    <t>Morocco</t>
  </si>
  <si>
    <t>France</t>
  </si>
  <si>
    <t>Bolivia</t>
  </si>
  <si>
    <t>Mozambique</t>
  </si>
  <si>
    <t>Global cooperation MoU</t>
  </si>
  <si>
    <t>Mexico</t>
  </si>
  <si>
    <t>Battery Mfg, 100GWh- Staged</t>
  </si>
  <si>
    <t>Battery Mfg, 14GWh €1.8bn invested</t>
  </si>
  <si>
    <t>Battery Mfg - technology licence</t>
  </si>
  <si>
    <t>Battery Mfg, 7GWh, then 15GWh</t>
  </si>
  <si>
    <t>Battery Mfg - 50GWh</t>
  </si>
  <si>
    <t>Battery Assembly</t>
  </si>
  <si>
    <t>Battery Mfg, 2GWh; 8GWh phase 2</t>
  </si>
  <si>
    <t>Battery Mfg - 5GWh, multiphase</t>
  </si>
  <si>
    <t>Battery Assembly - 5GWh</t>
  </si>
  <si>
    <t>Battery Assembly - 6GW pa phase 1</t>
  </si>
  <si>
    <t>Battery Mfg - US$2.3bn</t>
  </si>
  <si>
    <t>Battery Mfg - 40GWh cells, 10GWh packs</t>
  </si>
  <si>
    <t>Battery Mfg - assembly 1GWh pa</t>
  </si>
  <si>
    <t>Battery Mfg, 20GWh</t>
  </si>
  <si>
    <t>Battery Mfg, 100GWh phased</t>
  </si>
  <si>
    <t>Battery Mfg for BESS, 6GWh</t>
  </si>
  <si>
    <t>Battery Mfg, 28GWh</t>
  </si>
  <si>
    <t>Battery Mfg</t>
  </si>
  <si>
    <t>Battery Mfg - delayed</t>
  </si>
  <si>
    <t>Battery Mfg, 6GWh</t>
  </si>
  <si>
    <t>Battery Mfg for trucks, 21GWh</t>
  </si>
  <si>
    <t>Battery Mfg - 18GWh phased</t>
  </si>
  <si>
    <t>Battery Mfg - LFP BESS</t>
  </si>
  <si>
    <t>Battery Mfg, 30GWh - paused US$2bn</t>
  </si>
  <si>
    <t>Battery Mfg, 30GWh - Half paused</t>
  </si>
  <si>
    <t>Battery Mfg, 10GWh</t>
  </si>
  <si>
    <t>Battery Mfg, 16GWh</t>
  </si>
  <si>
    <t>Battery Mfg - suspended</t>
  </si>
  <si>
    <t>Battery Mfg packs for EV &amp; BESS</t>
  </si>
  <si>
    <t>Battery Mfg - multiple phases</t>
  </si>
  <si>
    <t>Battery Mfg, 15GWh</t>
  </si>
  <si>
    <t>Battery pack assembly</t>
  </si>
  <si>
    <t>Battery Mfg, 5GWh assembly</t>
  </si>
  <si>
    <t>Battery Mfg, 5GWh</t>
  </si>
  <si>
    <t>Battery Mfg, 8GWh</t>
  </si>
  <si>
    <t>Battery Mfg, 50GWh</t>
  </si>
  <si>
    <t>Battery Mfg - electrolyte</t>
  </si>
  <si>
    <t>Battery Mfg - acquired 62%</t>
  </si>
  <si>
    <t>Battery Mfg for BESS, 10GWh</t>
  </si>
  <si>
    <t>Battery cell and BESS mfg</t>
  </si>
  <si>
    <t>Graphite anodes, 100,000tpa</t>
  </si>
  <si>
    <t>Cathodes, 100,000tpa phased</t>
  </si>
  <si>
    <t>Nickel value chain</t>
  </si>
  <si>
    <t>MHP - 90,000tpa</t>
  </si>
  <si>
    <t>Lithium sulphate - 50,000tpa</t>
  </si>
  <si>
    <t>Cathodes, 50,000tpa - cancelled 2025</t>
  </si>
  <si>
    <t>HPAL MHP, 120,000tpa</t>
  </si>
  <si>
    <t>Anodes, 80,000tpa</t>
  </si>
  <si>
    <t>Anodes, 80,000tpa - phase 2</t>
  </si>
  <si>
    <t>Cathodes, 50,000tpa</t>
  </si>
  <si>
    <t>Anodes, 60,000tpa</t>
  </si>
  <si>
    <t>Graphite mine proposal</t>
  </si>
  <si>
    <t>Anodes, 100,000tpa *2</t>
  </si>
  <si>
    <t>Lithium Copper foil mfg for batteries</t>
  </si>
  <si>
    <t>pCAM factory - 60ktpa, NCM - 120ktpa</t>
  </si>
  <si>
    <t>HGNM - 40ktpa + CAM - 20ktpa</t>
  </si>
  <si>
    <t>pCAM</t>
  </si>
  <si>
    <t>pCAM, 60,000tpa - cancelled</t>
  </si>
  <si>
    <t>Anodes US$460m - postponed</t>
  </si>
  <si>
    <t>electrolyte - 150ktpa</t>
  </si>
  <si>
    <t>electrolyte - 200ktpa</t>
  </si>
  <si>
    <t>pCAM factory</t>
  </si>
  <si>
    <t>CAM, 20,000tpa</t>
  </si>
  <si>
    <t>NCM cathodes, 25,000tpa</t>
  </si>
  <si>
    <t>NCM cathodes, 60,000tpa</t>
  </si>
  <si>
    <t>LFP cathodes, 50,000tpa</t>
  </si>
  <si>
    <t>LFP cathodes, 90,000tpa</t>
  </si>
  <si>
    <t>pCAM, 60,000tpa</t>
  </si>
  <si>
    <t>battery electrolyte factory</t>
  </si>
  <si>
    <t>LFP cathode - 30,000tpa</t>
  </si>
  <si>
    <t>LFP cathode - 90,000tpa</t>
  </si>
  <si>
    <t>NCM pCAM - 50,000tpa</t>
  </si>
  <si>
    <t>HMP Nickel 60ktpa</t>
  </si>
  <si>
    <t>Lithium carbonate, 35,000tpa</t>
  </si>
  <si>
    <t xml:space="preserve">CAM - 50,000tpa </t>
  </si>
  <si>
    <t>Graphite resources</t>
  </si>
  <si>
    <t xml:space="preserve">Black mass - 10,000tpa </t>
  </si>
  <si>
    <t>BESS - 95MW/190MWh</t>
  </si>
  <si>
    <t>BESS - 660MW/2,640MWh</t>
  </si>
  <si>
    <t>BESS - 200MW/880MWh</t>
  </si>
  <si>
    <t>BESS - 150MW/705MWh</t>
  </si>
  <si>
    <t>BESS - 200MWh</t>
  </si>
  <si>
    <t>BESS - 300MW/624MWh</t>
  </si>
  <si>
    <t>BESS - 150MW/300MWh</t>
  </si>
  <si>
    <t>BESS - 1,800MWh</t>
  </si>
  <si>
    <t>BESS - 250MW/1,000MWh</t>
  </si>
  <si>
    <t>BESS - 100MW/100MWh</t>
  </si>
  <si>
    <t>BESS - 3000MWh</t>
  </si>
  <si>
    <t>BESS - 350MW/1,750MWh</t>
  </si>
  <si>
    <t>BESS - 1,000MWh</t>
  </si>
  <si>
    <t>BESS - 7,800MWh</t>
  </si>
  <si>
    <t>solar 400MW &amp; BESS - 1,000MWh</t>
  </si>
  <si>
    <t>Global BESS EPC MoU JV</t>
  </si>
  <si>
    <t>W2E 24MW</t>
  </si>
  <si>
    <t>W2E 1.5ktpd waste</t>
  </si>
  <si>
    <t>Net-Zero Industrial Park in Brazil, focusing on SAF, GH2 &amp; 500MW ammonia.</t>
  </si>
  <si>
    <t>electrolyser manufacturing facility</t>
  </si>
  <si>
    <t>RE powered GH2 140ktpa</t>
  </si>
  <si>
    <t>€7.6bn 1.2Mtpa green ammonia project</t>
  </si>
  <si>
    <t>NEV Mfg - 150,000 units pa</t>
  </si>
  <si>
    <t>NEV Mfg - 50,000 units pa</t>
  </si>
  <si>
    <t>NEV Mfg - 200,000 units pa</t>
  </si>
  <si>
    <t>NEV Mfg - 150,000 units pa *2</t>
  </si>
  <si>
    <t>NEV Mfg - e-buses and trucks</t>
  </si>
  <si>
    <t>NEV Mfg - 10,000 units pa</t>
  </si>
  <si>
    <t>NEV Mfg - tripling EV Bus capacity</t>
  </si>
  <si>
    <t>NEV Mfg - 100,000 units pa x2</t>
  </si>
  <si>
    <t>Doubled equity stake to 17%</t>
  </si>
  <si>
    <t>London Electric Vehicle Company (LEVC)</t>
  </si>
  <si>
    <t>Manufacturing agreement</t>
  </si>
  <si>
    <t>NEV assembly - 20k pa</t>
  </si>
  <si>
    <t>NEV Mfg - 250,000 units pa</t>
  </si>
  <si>
    <t>NEV Mfg - site Yet to be determined</t>
  </si>
  <si>
    <t>NEV Mfg - MoU</t>
  </si>
  <si>
    <t>https://www.ft.com/content/ed88ae58-274c-4d06-a93d-15c93ee550a3</t>
  </si>
  <si>
    <t>https://www.bloomberg.com/news/features/2025-12-23/ev-battery-giant-catl-s-expansion-plans-face-trump-and-european-pushback?cmpid=BBD122625_CN&amp;utm_campaign=china&amp;utm_medium=email&amp;utm_source=newsletter&amp;utm_term=251226</t>
  </si>
  <si>
    <t>https://www.bloomberg.com/news/articles/2025-12-23/how-ford-and-catl-expanded-partnership-despite-political-minefield?cmpid=BBD122325_GREENDAILY&amp;utm_medium=email&amp;utm_source=newsletter&amp;utm_term=251223&amp;utm_campaign=greendaily</t>
  </si>
  <si>
    <t>https://www.mining.com/web/indonesia-forms-1-2-billion-battery-venture-with-chinas-catl/</t>
  </si>
  <si>
    <t>https://www.ft.com/content/b2c41a7d-02fa-4846-ab50-dd27e534dcf5?emailId=5e13ccab-d30c-479a-acf9-568926497a10&amp;segmentId=60a126e8-df3c-b524-c979-f90bde8a67cd</t>
  </si>
  <si>
    <t>https://asia.nikkei.com/spotlight/supply-chain/china-auto-parts-makers-triple-in-thailand-on-ev-battery-rush</t>
  </si>
  <si>
    <t>https://www.nationthailand.com/business/automobile/40033622</t>
  </si>
  <si>
    <t>https://www.energy-storage.news/gotion-starts-manufacturing-5mwh-bess-in-germany-following-key-certifications/</t>
  </si>
  <si>
    <t>https://www.metal.com/en/newscontent/103089926</t>
  </si>
  <si>
    <t>https://thesun.my/news/malaysia-news/johor-nears-deal-with-gotion-for-major-battery-plant/</t>
  </si>
  <si>
    <t>https://www.mlive.com/news/2025/10/michigan-says-gotion-battery-plant-is-dead-and-seeks-to-claw-back-grant-dollars.html</t>
  </si>
  <si>
    <t>https://techcrunch.com/2025/02/06/tracking-the-ev-battery-factory-construction-boom-across-north-america/</t>
  </si>
  <si>
    <t>https://www.energy-storage.news/gotions-first-made-in-usa-ess-battery-packs-roll-off-silicon-valley-production-line/</t>
  </si>
  <si>
    <t>https://www.reuters.com/business/autos-transportation/chinas-gotion-partner-inobat-build-slovakia-ev-battery-plant-2024-06-20/</t>
  </si>
  <si>
    <t>https://www.investmentmonitor.ai/news/deal-of-the-week-gotion-high-techs-6-4bn-battery-plant-in-morocco/</t>
  </si>
  <si>
    <t>https://hungarytoday.hu/green-light-for-eve-powers-battery-factory-in-debrecen/</t>
  </si>
  <si>
    <t>https://energynews.biz/eve-energys-1-2b-malaysia-battery-bet-reveals-strategic-shift-amid-global-trade-volatility/#:~:text=As%20geopolitical%20tensions%20increasingly%20reshape,export%20routes%20and%20regionalize%20production</t>
  </si>
  <si>
    <t>Looks increasingly unlikely: https://www.bbc.com/news/articles/cx2w95rx30wo</t>
  </si>
  <si>
    <t>https://cnevpost.com/2023/07/27/eve-energy-to-build-battery-base-thailand/</t>
  </si>
  <si>
    <t>https://www.just-auto.com/news/envision-aesc-confirms-ev-battery-plant-in-japan/#:~:text=The%20company%20said%20it%20would%20invest%20JPY50bn,batteries%2C%20enough%20to%20power%20160%2C000%20electric%20vehicles.</t>
  </si>
  <si>
    <t>https://us.aesc-group.com/</t>
  </si>
  <si>
    <t>https://spectrumlocalnews.com/sc/south-carolina/news/2025/02/05/south-carolina-news-aesc-loses-incentives</t>
  </si>
  <si>
    <t>https://battery-tech.net/battery-markets-news/aesc-launches-10gwh-douai-gigafactory-to-power-renault-evs/</t>
  </si>
  <si>
    <t>https://www.aesc-group.com/en/item/668bf854f7fe5a27254fcc59/</t>
  </si>
  <si>
    <t>https://www.electrive.com/2024/01/31/ukib-boosts-the-second-british-battery-factory-by-envision-aesc/</t>
  </si>
  <si>
    <t>https://cnevpost.com/2024/10/27/svolt-confirms-will-end-operations-europe/</t>
  </si>
  <si>
    <t>https://cnevpost.com/2024/10/25/svolt-suspends-battery-factory-projects-germany-report/</t>
  </si>
  <si>
    <t>https://cnevpost.com/2023/12/20/svolt-thailand-plant-1st-battery-pack-off-line/</t>
  </si>
  <si>
    <t>https://en.people.cn/n3/2023/0728/c90000-20050736.html?utm_source=chatgpt.com</t>
  </si>
  <si>
    <t>https://theinvestor.vn/chinese-battery-maker-sunwoda-plans-300-mln-additional-investment-in-northern-vietnam-d11246.html#:~:text=Industries-,Chinese%20battery%20maker%20Sunwoda%20plans%20$300%20mln%20additional%20investment%20in,production%20in%20Vietnam%2C%20he%20noted.</t>
  </si>
  <si>
    <t>https://cnevpost.com/2025/03/13/thailand-approves-sunwoda-investment-ev-battery-cell-plants/</t>
  </si>
  <si>
    <t>https://cnevpost.com/2025/02/25/calb-breaks-ground-battery-plant-portugal/</t>
  </si>
  <si>
    <t>https://www.theglobeandmail.com/investing/markets/markets-news/ACN%20Newswire/34439272/calb-3931-hk-announces-2025-interim-results/#:~:text=At%20the%20same%20time%2C%20CALB,and%20high%2Dperformance%20product%20solutions.</t>
  </si>
  <si>
    <t>https://www.ess-news.com/2025/01/15/chinas-rept-battero-to-build-battery-manufacturing-plant-in-indonesia/</t>
  </si>
  <si>
    <t>https://www.reuters.com/business/autos-transportation/volvo-cars-buys-northvolts-stake-ev-battery-venture-novo-2025-01-29/</t>
  </si>
  <si>
    <t>https://www.volvogroup.com/en/news-and-media/news/2024/feb/volvo-completes-acquisition-of-battery-business-from-proterra-inc--and-proterra-operating-company.html</t>
  </si>
  <si>
    <t>https://www.energytrend.com/pricequotes/20250125-49030.html</t>
  </si>
  <si>
    <t>https://hipa.hu/hir/Szolnok-HIPA-beruhazas-KunlumChem/</t>
  </si>
  <si>
    <t>https://www.linkedin.com/posts/mlkubik_batteries-energystorage-renewables-activity-7306258597649219585-uAL4?utm_source=share&amp;utm_medium=member_desktop&amp;rcm=ACoAAAK_xL4BN5TFIx7F-X4g0YfwtHJ1QLTvZoQ</t>
  </si>
  <si>
    <t>https://www.pv-magazine.com/2025/11/17/a-late-but-decisive-move-to-ess-longi-takes-majority-control-of-potisedge/</t>
  </si>
  <si>
    <t>https://www.energy-storage.news/chinese-battery-manufacturer-hithium-ships-first-units-from-texas-bess-assembly-plant/#:~:text=Hithium%20announced%20the%20new%20production,had%20doubled%20by%20its%20opening.</t>
  </si>
  <si>
    <t>https://renewablesnow.com/news/hithium-forms-saudi-arabian-jv-with-plans-for-5-gwh-battery-factory-871518/</t>
  </si>
  <si>
    <t>https://www.energy-storage.news/canadian-solar-to-manufacture-bess-and-cells-at-kentucky-plant-after-enervenue-backs-out/</t>
  </si>
  <si>
    <t>https://battery-tech.net/battery-markets-news/imerys-and-shanshan-to-build-graphite-anode-plant-in-europe/#:~:text=Imerys%20Graphite%20&amp;%20Carbon%20Switzerland%20and,EV%20and%20energy%20storage%20markets.</t>
  </si>
  <si>
    <t>https://battery-news.de/en/2025/03/11/ptl-cancels-anode-factory-in-sweden/#:~:text=Chinese%20company%20Shanghai%20Putailai%20(PTL,in%20parts%20with%20another%20company.</t>
  </si>
  <si>
    <t xml:space="preserve">https://www.bloomberg.com/news/features/2025-07-22/us-tariffs-drive-europe-to-rethink-its-china-trade-relationship </t>
  </si>
  <si>
    <t>https://www.yicaiglobal.com/news/chinas-huayou-cobalt-gains-after-hungarian-plant-lands-another-big-battery-materials-order</t>
  </si>
  <si>
    <t>https://www.reuters.com/technology/chinas-huayou-replace-lges-indonesian-ev-battery-project-minister-says-2025-04-23/</t>
  </si>
  <si>
    <t>https://constructionreviewonline.com/news/merdeka-battery-locks-in-1-8b-for-indonesian-hpal-facility/</t>
  </si>
  <si>
    <t>https://www.reuters.com/world/africa/huayou-start-zimbabwe-lithium-sulphate-production-early-2026-2025-10-17/</t>
  </si>
  <si>
    <t>https://www.bloomberg.com/news/articles/2025-05-07/byd-tsingshan-drop-chile-lithium-processing-projects-after-rout</t>
  </si>
  <si>
    <t>https://source.benchmarkminerals.com/article/chinas-gotion-follows-catl-playbook-with-nickel-investment</t>
  </si>
  <si>
    <t>https://www.mining.com/web/sinomine-says-it-will-build-lithium-sulfate-plant-in-zimbabwe/</t>
  </si>
  <si>
    <t>https://www.btrchina.com/en/news/info.aspx?itemid=1243</t>
  </si>
  <si>
    <t>https://www.reuters.com/business/china-ev-battery-maker-btr-build-cathode-plant-morocco-2024-03-29/#:~:text=March%2029%20(Reuters)%20%2D%20The,Eljechtimi;%20Editing%20by%20Susan%20Fenton</t>
  </si>
  <si>
    <t>https://www.btrchina.com/en/News/info.aspx?itemid=1244</t>
  </si>
  <si>
    <t>https://api.investi.com.au/api/announcements/ev1/7da8a0b3-749.pdf</t>
  </si>
  <si>
    <t>https://source.benchmarkminerals.com/article/site-visit-permanent-minerals-highlights-africas-growing-flake-graphite-role</t>
  </si>
  <si>
    <t>https://enterprise.news/climate/en/news/story/ea78e470-8392-487d-a7bf-06ef3e74d954/hailiang-set-to-build-usd-288-mn-ev-battery-parts-plant-in-morocco</t>
  </si>
  <si>
    <t>https://www.yicaiglobal.com/news/china-hailiang-to-build-usd849-million-ev-battery-copper-foil-plant-in-indonesia#:~:text=The%20facility%20will%20be%20built,BYD%20in%20the%20second%20quarter.</t>
  </si>
  <si>
    <t>https://enterprise.news/climate/en/news/story/f7f71bc5-5be7-4259-8272-c44591cef9ff/</t>
  </si>
  <si>
    <t>https://www.argusmedia.com/en/news-and-insights/latest-market-news/2628091-cngr-s-nni-produces-high-grade-ni-matte-in-indonesia</t>
  </si>
  <si>
    <t>https://www.petromindo.com/news/article/cngr-plans-major-nickel-based-pcam-and-nickel-production-expansion-in-indonesia</t>
  </si>
  <si>
    <t>https://cngr.fi/en/news/battery-materials-plant-in-hamina-receives-environmental-permit</t>
  </si>
  <si>
    <t>https://www.yicaiglobal.com/news/chinas-zhongke-to-build-lithium-battery-material-plant-in-oman-for-usd11-billion#:~:text=China's%20Zhongke%20to%20Build%20Lithium,the%20Oman%20project%2C%20it%20noted.</t>
  </si>
  <si>
    <t>https://www.itiger.com/news/2541889654</t>
  </si>
  <si>
    <t>https://www.seaisi.org/details/26757?type=news-rooms&amp;utm_source=chatgpt.com</t>
  </si>
  <si>
    <t>https://www.energytrend.com/news/20251125-50463.html</t>
  </si>
  <si>
    <t>https://www.axens.net/resources-events/news/at-choose-france-2024-summit-axens-and-hunan-changyuan-lico-announce-joint-venture-project-for-production-cathode-active-materials-in-france</t>
  </si>
  <si>
    <t>https://www.orano.group/concertation-orano-xtcnewenergy/fr/le-projet</t>
  </si>
  <si>
    <t>https://www.nordfranceinvest.com/news/xtc-orano-one-project-4-activities-around-cathodes-in-hauts-de-france/</t>
  </si>
  <si>
    <t>https://news.metal.com/newscontent/102897879</t>
  </si>
  <si>
    <t>https://www.metal.com/en/newscontent/103116350</t>
  </si>
  <si>
    <t>https://laaldaba.es/actualidad/extremadura/la-junta-de-extremadura-firma-un-memorandum-de-entendimiento-con-una-empresa-china-para-desarrollar-una-fabrica-de-catodos-de-litio-en-merida/</t>
  </si>
  <si>
    <t>https://www.energytrend.com/news/20250724-49925.html</t>
  </si>
  <si>
    <t>https://investors.icl-group.com/reports-news-and-events/press-releases/press-releases-details/2025/ICL-Signs-Strategic-Agreement-with-Dynanonic-to-Produce-Lithium-Iron-Phosphate-for-European-Battery-Market/default.aspx#:~:text=TEL%20AVIV%2C%20Israel%20%26%20SALLENT%2C,(CAM)%20production%20in%20Europe%2C</t>
  </si>
  <si>
    <t>https://www.mineralsgroup.fi/topical/news/our-associated-companys-cam-project-environmental-permit-now-legally-valid.html</t>
  </si>
  <si>
    <t>https://hungarytoday.hu/chinese-company-picks-hungary-for-its-first-european-factory/</t>
  </si>
  <si>
    <t>https://www.argusmedia.com/en/news-and-insights/latest-market-news/2560463-china-s-lopal-starts-first-indonesian-lfp-battery-plant</t>
  </si>
  <si>
    <t>https://www.petromindo.com/news/article/lopal-tech-expects-completion-of-second-lithium-production-phase-by-end-of-2025</t>
  </si>
  <si>
    <t>https://www.kedglobal.com/batteries/newsView/ked202303230027#:~:text=Last%20November%2C%20they%20agreed%20to,Kim%20at%20khk@hankyung.com</t>
  </si>
  <si>
    <t>https://www.canadianminingjournal.com/news/pt-vale-and-chinas-gem-partner-for-us1-4-billion-indonesian-nickel-plant/</t>
  </si>
  <si>
    <t>https://www.reuters.com/markets/commodities/bolivia-says-chinas-cbc-invest-1-billion-lithium-plants-2024-11-26/</t>
  </si>
  <si>
    <t>https://www.yicaiglobal.com/news/chinas-wanrun-new-energy-soars-on-plan-to-invest-usd168-million-in-battery-material-plant-in-us#:~:text=China's%20Wanrun%20New%20Energy%20Soars,Shiyan%2Dbased%20parent%20firm%20noted.</t>
  </si>
  <si>
    <t>https://tritonminerals.com/wp-content/uploads/2025/05/20250430-Quarterly-Activities-Appendix-5B-Cash-Flow-Report.pdf</t>
  </si>
  <si>
    <t>https://autorecyclingworld.com/huayou-cobalt-building-a-global-circular-economy-through-battery-recycling/#:~:text=Its%20strategic%20significance%20manifests%20across,leadership%20in%20the%20industrial%20chain.</t>
  </si>
  <si>
    <t>https://reneweconomy.com.au/china-solar-giant-trina-seeks-approval-for-biggest-battery-project-in-australia/</t>
  </si>
  <si>
    <t>https://reneweconomy-com-au.cdn.ampproject.org/c/s/reneweconomy.com.au/chinese-pv-and-storage-giant-trina-wins-rapid-green-light-for-another-big-solar-hybrid-project/amp/</t>
  </si>
  <si>
    <t>https://www.prnewswire.com/news-releases/recurrent-energy-secures-183-million-in-project-financing-and-tax-equity-for-merchant-storage-project-in-texas-302404122.html</t>
  </si>
  <si>
    <t>https://www.ess-news.com/2024/09/18/huawei-unveils-worlds-largest-microgrid-featuring-1-3-gwh-of-battery-storage/</t>
  </si>
  <si>
    <t>https://www.hithium.com/newsroom/latest/details/63.html</t>
  </si>
  <si>
    <t>https://indonesiabusinesspost.com/5220/energy-and-resources/oasa-china-tianying-partner-to-set-up-waste-to-energy-plant-in-south-tangerang</t>
  </si>
  <si>
    <t>https://goodmenproject.com/featured-content/indonesia-has-a-waste-problem-does-china-have-a-solution/</t>
  </si>
  <si>
    <t>https://www.seetaoe.com/details/253734.html</t>
  </si>
  <si>
    <t>https://www.uzdaily.uz/en/eight-waste-to-energy-plants-planned-for-construction-in-uzbekistan/#:~:text=Each%20plant%20will%20cost%20US$310%20million%20and%20is%20projected,waste%20to%20produce%20alternative%20energy.</t>
  </si>
  <si>
    <t>https://asiatoday.id/read/pt-magic-crystal-indo-and-cecep-group-collaborate-to-develop-clean-energy-in-east-kalimantan</t>
  </si>
  <si>
    <t>https://esgnews.com/envision-to-build-latin-americas-first-net-zero-industrial-park-in-brazil-to-accelerate-green-fuel-production/</t>
  </si>
  <si>
    <t>https://reglobal.org/sungrow-hydrogen-plans-electrolyser-facility-in-oman/</t>
  </si>
  <si>
    <t>https://www.metal.com/en/newscontent/103629351?utm_source=chatgpt.com</t>
  </si>
  <si>
    <t>https://www.greenbuildingafrica.co.za/longi-sign-a-e7-6-billion-agreement-to-develop-a-green-hydrogen-project-in-nigeria/</t>
  </si>
  <si>
    <t>https://www.forvia.com/en/press/forvia-and-byd-expand-strategic-partnership-europe-through-future-cooperation-hungary</t>
  </si>
  <si>
    <t>https://exame.com/tecnologia/byd-inicia-producao-do-primeiro-modelo-100-brasileiro-em-fabrica-de-camacari/</t>
  </si>
  <si>
    <t xml:space="preserve">https://asia.nikkei.com/Business/Automobiles/BYD-s-Brazil-expansion-hits-roadblocks-as-other-carmakers-call-for-tariffs </t>
  </si>
  <si>
    <t>https://www.china5e.com/news/news-1184259-1.html</t>
  </si>
  <si>
    <t>https://finance.yahoo.com/news/chinese-ev-giant-byd-build-094442524.html</t>
  </si>
  <si>
    <t xml:space="preserve">https://www.ft.com/content/36ae6f78-aadb-47bb-a5cd-ec69b420cbe1?emailId=f210c979-ac2d-4e04-a2d0-909a0c094c2d&amp;segmentId=60a126e8-df3c-b524-c979-f90bde8a67cd </t>
  </si>
  <si>
    <t>https://www.reuters.com/business/autos-transportation/byd-considers-germany-third-plant-europe-2025-03-17/</t>
  </si>
  <si>
    <t xml:space="preserve">https://baijiahao.baidu.com/s?id=1830655704147198327&amp;wfr=spider&amp;for=pc </t>
  </si>
  <si>
    <t>https://www.reuters.com/business/autos-transportation/byd-invest-94-million-triple-electric-bus-output-hungary-2025-06-27/</t>
  </si>
  <si>
    <t>https://www.reuters.com/business/autos-transportation/brazil-is-open-business-lula-says-chinese-factory-opening-2025-08-15/</t>
  </si>
  <si>
    <t xml:space="preserve">https://cnevpost.com/2025/05/19/changan-thailand-plant-goes-into-operation/ </t>
  </si>
  <si>
    <t>https://electricdrives.tv/geely-makes-120m-investment-in-the-london-electric-vehicle-company/</t>
  </si>
  <si>
    <t xml:space="preserve">https://www.scmp.com/business/china-evs/article/3299099/chinese-ev-maker-geely-joins-byd-brazil-push-deal-renault </t>
  </si>
  <si>
    <t>https://www.just-auto.com/news/geely-begins-assembling-the-starray-in-indonesia/</t>
  </si>
  <si>
    <t>https://www.bloomberg.com/news/features/2024-01-08/big-european-car-industry-is-jeopardized-by-electric-vehicles?sref=XNB4Nygj</t>
  </si>
  <si>
    <t>https://cnevpost.com/2025/03/17/xpeng-enters-indonesia-local-production-h2-2025/</t>
  </si>
  <si>
    <t>https://www.scmp.com/business/banking-finance/article/3310931/stellantis-relocating-chinese-ev-maker-leapmotors-european-production-poland</t>
  </si>
  <si>
    <t>https://www.reuters.com/business/energy/saudi-arabia-signs-56-bln-deal-with-chinese-ev-company-state-media-2023-06-12/</t>
  </si>
  <si>
    <t>1Q2026</t>
  </si>
  <si>
    <t>4QCY2022</t>
  </si>
  <si>
    <t>1Q2024</t>
  </si>
  <si>
    <t>2024-25</t>
  </si>
  <si>
    <t>2025-27</t>
  </si>
  <si>
    <t>2026-2032</t>
  </si>
  <si>
    <t>2026-2033</t>
  </si>
  <si>
    <t>2027-2030</t>
  </si>
  <si>
    <t>Atacama Desert</t>
  </si>
  <si>
    <t>Mauriti Solar Complex</t>
  </si>
  <si>
    <t xml:space="preserve"> Al Sadawi</t>
  </si>
  <si>
    <t>Taif</t>
  </si>
  <si>
    <t>Iraq</t>
  </si>
  <si>
    <t>Basra</t>
  </si>
  <si>
    <t>Puerto Peñasco</t>
  </si>
  <si>
    <t>Sauran District</t>
  </si>
  <si>
    <t>Minas Gerais</t>
  </si>
  <si>
    <t>Murcia</t>
  </si>
  <si>
    <t>Bulgaria</t>
  </si>
  <si>
    <t>Sofia</t>
  </si>
  <si>
    <t xml:space="preserve">Dhafrah </t>
  </si>
  <si>
    <t>Tunisia</t>
  </si>
  <si>
    <t>Kerouan</t>
  </si>
  <si>
    <t>Castilla y León</t>
  </si>
  <si>
    <t>Piau Islands</t>
  </si>
  <si>
    <t>Tamworth</t>
  </si>
  <si>
    <t>Texas,</t>
  </si>
  <si>
    <t>Arizona</t>
  </si>
  <si>
    <t>New Alamein City</t>
  </si>
  <si>
    <t>Florida</t>
  </si>
  <si>
    <t>Sohar Port</t>
  </si>
  <si>
    <t xml:space="preserve"> Vietnam</t>
  </si>
  <si>
    <t>Quảng Ninh</t>
  </si>
  <si>
    <t>Mesquite, Texas</t>
  </si>
  <si>
    <t>Jeffersonville, Indiana</t>
  </si>
  <si>
    <t>Jawa Tengah</t>
  </si>
  <si>
    <t>Ohio</t>
  </si>
  <si>
    <t>Serendah</t>
  </si>
  <si>
    <t>West Java</t>
  </si>
  <si>
    <t>Alabama</t>
  </si>
  <si>
    <t>Batam</t>
  </si>
  <si>
    <t>Saysettha, Vientiane,</t>
  </si>
  <si>
    <t>Mandeure</t>
  </si>
  <si>
    <t>Balıkesir</t>
  </si>
  <si>
    <t xml:space="preserve"> Turkey</t>
  </si>
  <si>
    <t>Adana</t>
  </si>
  <si>
    <t>Nghe An</t>
  </si>
  <si>
    <t>Indiana</t>
  </si>
  <si>
    <t>Hai Phong</t>
  </si>
  <si>
    <t>Julius Nyerere</t>
  </si>
  <si>
    <t>San Gabán III</t>
  </si>
  <si>
    <t>Nepal</t>
  </si>
  <si>
    <t>Congo</t>
  </si>
  <si>
    <t>Sounda</t>
  </si>
  <si>
    <t>Hungary</t>
  </si>
  <si>
    <t>Debrecen</t>
  </si>
  <si>
    <t>Arnstadt</t>
  </si>
  <si>
    <t>Michigan</t>
  </si>
  <si>
    <t>Nevada</t>
  </si>
  <si>
    <t>Zaragoza</t>
  </si>
  <si>
    <t>Rayong</t>
  </si>
  <si>
    <t>Göttingen</t>
  </si>
  <si>
    <t>Johor</t>
  </si>
  <si>
    <t>Manteno, Illinois</t>
  </si>
  <si>
    <t>Fremont, California</t>
  </si>
  <si>
    <t>Slovakia</t>
  </si>
  <si>
    <t>Surany</t>
  </si>
  <si>
    <t>Pune</t>
  </si>
  <si>
    <t>Kedah</t>
  </si>
  <si>
    <t>Coventry</t>
  </si>
  <si>
    <t xml:space="preserve">South &amp; East Asia </t>
  </si>
  <si>
    <t>Middle East</t>
  </si>
  <si>
    <t>Mississippi</t>
  </si>
  <si>
    <t>Japan</t>
  </si>
  <si>
    <t xml:space="preserve">Ibaraki </t>
  </si>
  <si>
    <t>Smyrna, Tennessee</t>
  </si>
  <si>
    <t>Kentucky</t>
  </si>
  <si>
    <t>South Carolina</t>
  </si>
  <si>
    <t>Douai</t>
  </si>
  <si>
    <t>Cáceres</t>
  </si>
  <si>
    <t>Sunderland</t>
  </si>
  <si>
    <t>Sriracha Chonburi</t>
  </si>
  <si>
    <t>Nyiregyhaza</t>
  </si>
  <si>
    <t>Bac Giang</t>
  </si>
  <si>
    <t xml:space="preserve">Chonburi Province </t>
  </si>
  <si>
    <t>Portugal</t>
  </si>
  <si>
    <t>Sines Industrial</t>
  </si>
  <si>
    <t>Gemlik</t>
  </si>
  <si>
    <t>Sweden</t>
  </si>
  <si>
    <t>Gothenburg</t>
  </si>
  <si>
    <t>Kulum City</t>
  </si>
  <si>
    <t>Szolnok</t>
  </si>
  <si>
    <t>Shelbyville, Kentucky</t>
  </si>
  <si>
    <t>Sundsvall</t>
  </si>
  <si>
    <t>Acs</t>
  </si>
  <si>
    <t xml:space="preserve">Indonesia </t>
  </si>
  <si>
    <t>Sulawesi</t>
  </si>
  <si>
    <t>Tangier</t>
  </si>
  <si>
    <t>Manyara province</t>
  </si>
  <si>
    <t>Jorf Lasfar</t>
  </si>
  <si>
    <t xml:space="preserve">Central Sulawesi, </t>
  </si>
  <si>
    <t>Sohar SEZ</t>
  </si>
  <si>
    <t>El Jadida</t>
  </si>
  <si>
    <t>Baytown, Texas</t>
  </si>
  <si>
    <t>Dunkirk</t>
  </si>
  <si>
    <t xml:space="preserve">Poland </t>
  </si>
  <si>
    <t>Konin</t>
  </si>
  <si>
    <t>Sallent</t>
  </si>
  <si>
    <t>Kotka</t>
  </si>
  <si>
    <t>Kendal Industrial Park</t>
  </si>
  <si>
    <t>Saemangeum</t>
  </si>
  <si>
    <t>Central Sulawesi</t>
  </si>
  <si>
    <t>Gwangyang</t>
  </si>
  <si>
    <t xml:space="preserve">Kemerton, WA </t>
  </si>
  <si>
    <t xml:space="preserve">Killawarra, WA </t>
  </si>
  <si>
    <t>Texas</t>
  </si>
  <si>
    <t>Nova Scotia</t>
  </si>
  <si>
    <t>Red Sea</t>
  </si>
  <si>
    <t>South Tangerang</t>
  </si>
  <si>
    <t>Palembang</t>
  </si>
  <si>
    <t>Chust District</t>
  </si>
  <si>
    <t>Jizzakh region</t>
  </si>
  <si>
    <t>East Kalimantan</t>
  </si>
  <si>
    <t>Pecém Port</t>
  </si>
  <si>
    <t>Szeged</t>
  </si>
  <si>
    <t>Camaçari</t>
  </si>
  <si>
    <t>Bahia</t>
  </si>
  <si>
    <t>Komarom</t>
  </si>
  <si>
    <t>Sao Paulo</t>
  </si>
  <si>
    <t>Barcelona</t>
  </si>
  <si>
    <t>Ansty Park</t>
  </si>
  <si>
    <t>Purwakarta</t>
  </si>
  <si>
    <t>Busan</t>
  </si>
  <si>
    <t>Košice</t>
  </si>
  <si>
    <t>Paraná</t>
  </si>
  <si>
    <t>Investment Total (US$m)</t>
  </si>
  <si>
    <t>Total</t>
  </si>
  <si>
    <t>Row Labels</t>
  </si>
  <si>
    <t>Grand Total</t>
  </si>
  <si>
    <t>Sum of Investment Total (US$m)</t>
  </si>
  <si>
    <t>Column Labels</t>
  </si>
  <si>
    <t>https://en.myse.com.cn/news/info.aspx?itemid=2529</t>
  </si>
  <si>
    <t>Column1</t>
  </si>
  <si>
    <t>https://renewablesnow.com/news/envision-acwa-power-sign-cooperation-framework-agreement-1284359/</t>
  </si>
  <si>
    <t>https://renewablesnow.com/news/envision-breaks-ground-on-2-gw-wind-turbine-blades-factory-in-india-1282128/</t>
  </si>
  <si>
    <t>Gujarat</t>
  </si>
  <si>
    <t>Onshore wind turbine blades - 2GW pa</t>
  </si>
  <si>
    <t>Tamil Nadu</t>
  </si>
  <si>
    <t>Onshore wind turbine nacelles - 3GW pa</t>
  </si>
  <si>
    <t>https://www.envision-energy.in/about-us#:~:text=Overview,Bengaluru</t>
  </si>
  <si>
    <t>Baku</t>
  </si>
  <si>
    <t>100MW floating solar farm + 30MW BESS</t>
  </si>
  <si>
    <t>https://www.pv-magazine.com/2025/04/23/azerbaijan-inks-three-solar-agreements-with-chinese-companies/#:~:text=The%20third%20announced%20project%20is,that%20will%20total%20760%20MW.</t>
  </si>
  <si>
    <t>PowerChina Resources</t>
  </si>
  <si>
    <t>Huantai Energy</t>
  </si>
  <si>
    <t>EBRD</t>
  </si>
  <si>
    <t>https://www.pv-magazine.com/2024/11/21/azerbaijan-awards-100-mw-of-solar-with-lowest-bid-of-0-0354-kwh/#:~:text=Energy%20Conference%202026-,Azerbaijan%20awards%20100%20MW%20of%20solar%20with%20lowest%20bid%20of,November%2021%2C%202024%20Patrick%20Jowett</t>
  </si>
  <si>
    <t>Zhejiang Windey Wind</t>
  </si>
  <si>
    <t>Fintel Energija ad Beograd</t>
  </si>
  <si>
    <t>Vojvodina</t>
  </si>
  <si>
    <t>862MW onshore wind farm - China EPC &amp; debt funding</t>
  </si>
  <si>
    <t>https://www.power-technology.com/marketdata/power-plant-profile-maestrale-ring-wind-farm-serbia/?cf-view</t>
  </si>
  <si>
    <t>NEV Mfg - 90,000 units pa CKD</t>
  </si>
  <si>
    <t>Purwakarta, West Java</t>
  </si>
  <si>
    <t>https://chinaglobalsouth.com/2025/03/02/chinas-xpeng-expands-in-indonesia-local-ev-production-and-nickel-battery-plans/</t>
  </si>
  <si>
    <t>https://www.metal.com/en/newscontent/103596610</t>
  </si>
  <si>
    <t>https://www.agbi.com/renewable-energy/2025/08/china-sungrow-to-build-oman-first-specialist-green-hydrogen-plant/#:~:text=By%20Saleh%20Al%2DShaibany,economy%20away%20from%20fossil%20fuels.</t>
  </si>
  <si>
    <t>Proposed US$4bn acquisition of Transelec SA</t>
  </si>
  <si>
    <t>Khyber Pakhtunkhwa</t>
  </si>
  <si>
    <t>China Gezhouba Group Co</t>
  </si>
  <si>
    <t>Kwanza Norte Province</t>
  </si>
  <si>
    <t>Angola</t>
  </si>
  <si>
    <t xml:space="preserve">Hydro - 2,172MW </t>
  </si>
  <si>
    <t>ICBC / KfW</t>
  </si>
  <si>
    <t>https://www.powermag.com/major-hydropower-project-moves-forward-in-angola/</t>
  </si>
  <si>
    <t>CPCG</t>
  </si>
  <si>
    <t>Building the 150MW Black Peak Wind farm</t>
  </si>
  <si>
    <t>https://www.power-technology.com/data-insights/power-plant-profile-black-peak-wind-farm-serbia/#:~:text=Black%20Peak%20Wind%20Farm%20is%20a%20150MW,planned%20in%20Southern%20and%20Eastern%20Serbia%2C%20Serbia.</t>
  </si>
  <si>
    <t>https://www.gwm-global.com/news/3403758.html#:~:text=%E4%B8%AD%E6%96%87%E7%AB%99,GT%20rolling%20off%20the%20line</t>
  </si>
  <si>
    <t>NEV Mfg - 50,000 units pa (acquired from Daimler)</t>
  </si>
  <si>
    <t>NEV Mfg - 80,000 units pa</t>
  </si>
  <si>
    <t>https://www.boi.go.th/index.php?page=press_releases_detail&amp;topic_id=135688&amp;utm_source=AItoolsmarketer&amp;utm_medium=marketplace&amp;utm_campAIgn=AItoolsmarketer&amp;language=en#:~:text=First%20off%20the%20blocks%20was,price%20with%20similar%20ICE%20models.</t>
  </si>
  <si>
    <t>https://www.bangkokpost.com/business/motoring/3006356/gwm-devises-plan-for-diesel-cars-in-rayong</t>
  </si>
  <si>
    <t>https://www.digitimes.com/news/a20221122VL211/great-wall-motor-thailand.html#:~:text=Yusin%20Hu%2C%20DIGITIMES%20Asia%2C%20Taipei,stations%20across%20Thailand%20by%202030.</t>
  </si>
  <si>
    <t>Column2</t>
  </si>
  <si>
    <t>Graphite anodes, 100,000tpa ($1.4bn)</t>
  </si>
  <si>
    <t>Vassa</t>
  </si>
  <si>
    <t>https://www.yicaiglobal.com/news/chinese-shipping-tycoon-takes-over-battery-materials-giant-shanshan-amid-court-led-restructuring/#:~:text=Chinese%20Shipping%20Tycoon%20Takes%20Over,away%20unexpectedly%20in%20early%202023.</t>
  </si>
  <si>
    <t>pCAM, 80,000tpa (€1.5bn)</t>
  </si>
  <si>
    <t>Speculated</t>
  </si>
  <si>
    <t>Australasia</t>
  </si>
  <si>
    <t>Africa</t>
  </si>
  <si>
    <t>Recurrent Energy (Canadian Solar)</t>
  </si>
  <si>
    <t xml:space="preserve">738MW solar across 2 farms </t>
  </si>
  <si>
    <t>https://www.forumchinaplp.org.mo/en/economic_trade/view/2722#:~:text=Release%20time%EF%BC%9A2022%2D06%2D,of%20SPIC%20Brasil%2C%20Adriana%20Waltrick.</t>
  </si>
  <si>
    <t>Rio Grande do Norte</t>
  </si>
  <si>
    <t>105MW onshore wind farm</t>
  </si>
  <si>
    <t>https://www.reuters.com/business/energy/chinas-spic-invests-147-million-brazil-wind-farms-launches-solar-parks-2024-06-05/#:~:text=China's%20SPIC%20invests%20$147%20million,farms%2C%20launches%20solar%20parks%20%7C%20Reuters</t>
  </si>
  <si>
    <t>YEO Technology (Turkeye)</t>
  </si>
  <si>
    <t xml:space="preserve">129MW solar across 2 farms </t>
  </si>
  <si>
    <t>https://balkangreenenergynews.com/turkish-chinese-joint-venture-to-build-two-pv-plants-in-romania/#:~:text=Igor%20Todorovi%C4%87-,0,power%20plants%20in%20the%20country.</t>
  </si>
  <si>
    <t>https://jebridge.jp/en/2025/08/20/poland-manufacturing-investments/#:~:text=Ronbay%20Technology%20(China)%20%E2%80%93%20Chinese,to%20create%20600%E2%80%93800%20jobs.</t>
  </si>
  <si>
    <t>https://www.yicaiglobal.com/news/chinas-ronbay-to-invest-usd362-million-to-build-two-battery-materials-plants-in-south-korea#:~:text=China's%20Ronbay%20to%20Invest%20USD362,owns%20a%2068.2%20percent%20stake.</t>
  </si>
  <si>
    <t>Chungju</t>
  </si>
  <si>
    <t>Togg of Turkey</t>
  </si>
  <si>
    <t>Battery Mfg, 5GWh assembly, 20GWh multi-phase</t>
  </si>
  <si>
    <t>https://www.aa.com.tr/en/economy/turkish-automaker-chinese-battery-firm-sign-562m-loan-deal-with-icbc-turkey/3112677#:~:text=ANKARA,to%20a%20statement%20on%20Thursday.</t>
  </si>
  <si>
    <t>POSCO Future M</t>
  </si>
  <si>
    <t>https://newsroom.posco.com/en/posco-future-m-pursues-the-lfp-cathode-material-business-for-ess/</t>
  </si>
  <si>
    <t>https://www.reuters.com/world/china/chinas-catl-breaks-ground-huge-spanish-battery-plant-bringing-its-own-workers-2025-11-26/</t>
  </si>
  <si>
    <t>Florence, South Carolina</t>
  </si>
  <si>
    <t>https://finance.yahoo.com/news/aesc-restarts-clock-construction-1-202611615.html</t>
  </si>
  <si>
    <t>InoBat (20%)</t>
  </si>
  <si>
    <t>Gotion High-Tech (80%)</t>
  </si>
  <si>
    <t>Dynanonic (20%)</t>
  </si>
  <si>
    <t>ICL Group (80%)</t>
  </si>
  <si>
    <t>Sallent, Catalonia</t>
  </si>
  <si>
    <t>LFP Cathodes (Euro285m)</t>
  </si>
  <si>
    <t>INA / Aisis Alliance (45%)</t>
  </si>
  <si>
    <t>Beijing Easpring Material (70%)</t>
  </si>
  <si>
    <t>Finnish Metal Group (30%)</t>
  </si>
  <si>
    <t>Vun  Ang</t>
  </si>
  <si>
    <t>Battery Mfg of cells for EVs &amp; BESS 17GWh</t>
  </si>
  <si>
    <t>Yunnan Energy New Material Co., Ltd. (SEMCORP)</t>
  </si>
  <si>
    <t>https://hipa.hu/news/semcorp-opens-its-first-production-unit-outside-china-in-hungary/#:~:text=2020.,10.&amp;text=As%20the%20first%20production%20unit,market%20of%20lithium%2Dion%20batteries.</t>
  </si>
  <si>
    <t>Sidney, Ohio</t>
  </si>
  <si>
    <t>https://www.bizjournals.com/dayton/news/2025/04/01/semcorp-expansion-update-phases-complete-sidney.html</t>
  </si>
  <si>
    <t>Separator films for batteries</t>
  </si>
  <si>
    <t>https://www.reuters.com/business/autos-transportation/semcorp-invest-916-million-make-ev-battery-components-ohio-2022-05-05/#:~:text=May%205%20(Reuters)%20%2D%20Semcorp,Shanghai%20Energy%20New%20Materials%20Technology.)</t>
  </si>
  <si>
    <t>https://www.energytrend.com/news/20220518-28437.html</t>
  </si>
  <si>
    <t>IMIP</t>
  </si>
  <si>
    <t>Integrated battery plant - 15GWh</t>
  </si>
  <si>
    <t>https://www.semcorp.com/Public/Uploads/uploadfile/files/20250610/enjiegufen2024nianniandubaogaoyingwenban.pdf</t>
  </si>
  <si>
    <t>TEDA zone at El-Sokhna</t>
  </si>
  <si>
    <t>Battery Mfg - 10GWh</t>
  </si>
  <si>
    <t>https://www.saurenergy.com/solar-energy-news/egypt-signs-usd-18-billion-deals-with-scatec-and-sungrow-for-major-solar-and-battery-projects-10990473</t>
  </si>
  <si>
    <t>https://en.cnesa.org/latest-news/2026/1/13/sunglow-energys-first-energy-storage-plant-in-the-middle-east-launchedwith-an-annual-capacity-of-10-gwh#:~:text=On%20the%20manufacturing%20side%2C%20Sungrow,to%20begin%20in%20April%202027.</t>
  </si>
  <si>
    <t>Bukhara and Kashkadarya</t>
  </si>
  <si>
    <t>https://www.pv-tech.org/ceec-commissions-400mw-of-1gw-uzbekistan-solar-project/#:~:text=Arctech%20has%20supplied%20its%20SkyWings,of%20the%20sun%20in%20unison.</t>
  </si>
  <si>
    <t>Purchase of Peru Grid T&amp;D from Enel</t>
  </si>
  <si>
    <t>CEXIM</t>
  </si>
  <si>
    <t>Tubaste Ferrochrome solar plant</t>
  </si>
  <si>
    <t>South Africa</t>
  </si>
  <si>
    <t>KONA Holdings</t>
  </si>
  <si>
    <t>https://iea.blob.core.windows.net/assets/ab4a7941-6bea-48fd-93b8-33f24fea3338/ChinasOfficialEnergyFinanceinEmergingandDevelopingEconomies.pdf</t>
  </si>
  <si>
    <t>Zheneng Jinjiang Environment Holding Co</t>
  </si>
  <si>
    <t>W2E 1ktpd waste, 20MW</t>
  </si>
  <si>
    <t>Mecca</t>
  </si>
  <si>
    <t>https://www.thejakartapost.com/business/2026/01/28/byd-vinfast-to-start-local-ev-production-in-march-govt-says.html#:~:text=to%20Anyone,2025%20as%20weak%20demand%20persists</t>
  </si>
  <si>
    <t>Subang Smartpolitan industrial area</t>
  </si>
  <si>
    <t xml:space="preserve">NEV Mfg </t>
  </si>
  <si>
    <t>https://www.bloomberg.com/news/articles/2026-01-28/byd-weighs-india-expansion-as-hundreds-of-car-orders-pile-up?cmpid=eveapac&amp;utm_medium=email&amp;utm_source=newsletter&amp;utm_term=260128&amp;utm_campaign=eveapac</t>
  </si>
  <si>
    <t>Kendal SEZ in Central Java</t>
  </si>
  <si>
    <t>JIIPE SEZ in Gresik</t>
  </si>
  <si>
    <t>Rempang Island</t>
  </si>
  <si>
    <t>Yuncheng Solar Technology Group.</t>
  </si>
  <si>
    <t>Jetenglan Industrial Park in Semarang</t>
  </si>
  <si>
    <t>3GW modules pa =&gt; 8GW pa phase 2</t>
  </si>
  <si>
    <t>Batam Industrial Park</t>
  </si>
  <si>
    <t>Batang Toru Hydropower Plant</t>
  </si>
  <si>
    <t>China National Nuclear Corp.</t>
  </si>
  <si>
    <t>2GW pa solar cell &amp; 3GW modules manufacturing</t>
  </si>
  <si>
    <t>https://en.prnasia.com/releases/global/elite-solar-commissions-5gw-integrated-solar-manufacturing-facility-in-egypt-expanding-global-supply-capacity-520129.shtml#:~:text=SUEZ%2C%20Egypt%2C%20Jan.%2024,cell%20and%20module%20production%20lines.</t>
  </si>
  <si>
    <t>TEDA Suez Economic &amp; Trade Cooperation Zone</t>
  </si>
  <si>
    <t>Kenitra Atlantic Free Zone</t>
  </si>
  <si>
    <t>2026-onwards</t>
  </si>
  <si>
    <t>https://www.ecofinagency.com/news-industry/1609-48731-as-morocco-attracts-a-5-6b-battery-plant-its-coal-fired-grid-faces-a-power-test#:~:text=Gotion%20to%20build%20$5.6B,and%20cathodes%20for%20the%20batteries.</t>
  </si>
  <si>
    <t>135MW Manang Marsyangdi hydro plant</t>
  </si>
  <si>
    <t>Hydro-electricity - 135MW</t>
  </si>
  <si>
    <t>https://www.scmp.com/economy/global-economy/article/3341838/china-step-investment-nepals-hydropower-sector-nepalese-official</t>
  </si>
  <si>
    <t>Nepal's Butwal Power Co. (20%)</t>
  </si>
  <si>
    <t>China EXIm</t>
  </si>
  <si>
    <t>Sichuan Investment Group</t>
  </si>
  <si>
    <t>78 MW Sanjen Khola Hydro Project</t>
  </si>
  <si>
    <t>327 MW Upper Marsyangdi-2 Hydro Project</t>
  </si>
  <si>
    <t>Hydro-electricity - 327MW</t>
  </si>
  <si>
    <t>https://www.power-technology.com/marketdata/power-plant-profile-upper-marsyangdi-2-nepal/#:~:text=Description,into%20commercial%20operation%20by%202032.</t>
  </si>
  <si>
    <t>Butwal Power</t>
  </si>
  <si>
    <t>IFC</t>
  </si>
  <si>
    <t>Chinalco (Aluminium Corporation of China)</t>
  </si>
  <si>
    <t>Rio Tinto</t>
  </si>
  <si>
    <t>Hydro - 23 plants + wind farms to power a refinery</t>
  </si>
  <si>
    <t>M&amp;A</t>
  </si>
  <si>
    <t xml:space="preserve">https://www.afr.com/companies/mining/rio-tinto-partners-with-chinalco-on-1-3b-brazilian-aluminium-deal-20260130-p5nyc6 </t>
  </si>
  <si>
    <t>Michigan &amp; Kentucky</t>
  </si>
  <si>
    <t xml:space="preserve">https://www.ft.com/content/9ce6ac8b-3c90-4ff0-a68c-d3aed51c2940?emailId=1986fbe3-eb32-44d6-b799-2bdd9c9068c1&amp;segmentId=60a126e8-df3c-b524-c979-f90bde8a67cd </t>
  </si>
  <si>
    <t>EVE Energy / Daaz Bara</t>
  </si>
  <si>
    <t>Integrated battery plant - 20GWh</t>
  </si>
  <si>
    <t>https://www.yicaiglobal.com/news/chinas-huayou-cobalt-falls-after-indonesian-jv-agrees-to-build-nev-battery-supply-chain-with-local-soes?utm_source=volta_newsletter&amp;utm_medium=linkedin&amp;utm_campaign=volta_newsletter_20260206</t>
  </si>
  <si>
    <t>https://autonews.gasgoo.com/articles/ev/eve-energy-deepens-southeast-asia-push-with-indonesia-battery-ecosystem-pact-2018569023271051265?utm_source=volta_newsletter&amp;utm_medium=linkedin&amp;utm_campaign=volta_newsletter_20260206</t>
  </si>
  <si>
    <t>1GW cells/modules pa</t>
  </si>
  <si>
    <t>https://www.bloomberg.com/news/articles/2025-12-12/china-southern-power-s-transelec-talks-are-said-to-face-delays</t>
  </si>
  <si>
    <t>Patria Investments Ltd</t>
  </si>
  <si>
    <t>2,000MW of solar &amp; wind across 3 farms</t>
  </si>
  <si>
    <t>https://www.seetaoe.com/details/244455.html#:~:text=On%20March%2020th%2C%20CGN%20Energy,needs%20of%2010%20million%20households.</t>
  </si>
  <si>
    <t>Oudomxay province</t>
  </si>
  <si>
    <t>https://english.news.cn/20260205/9341481fba214901bc087b30a24a6cfd/c.html#:~:text=5%20(Xinhua)%20%2D%2D%20The%20Chinese,500%2DkV%20power%20interconnection%20project.</t>
  </si>
  <si>
    <t>Grand Ethiopian Renaissance dam</t>
  </si>
  <si>
    <t>Hydro-electricity - 5.15GW, CEXIM finance, plus US$1.2bn grid funding support</t>
  </si>
  <si>
    <t>https://www.npr.org/2025/09/09/nx-s1-5534227/ethiopia-dam-sudan-egypt#:~:text=toggle%20caption,%2C%22%20Abiy%20said%20in%20July.</t>
  </si>
  <si>
    <t>Hydro-electricity - 510MW - permits cancelled</t>
  </si>
  <si>
    <t>https://www.scmp.com/week-asia/politics/article/3343515/indonesias-us167-billion-china-backed-dam-limbo-why?utm_medium=email&amp;utm_source=cm&amp;utm_campaign=enlz-behind_the_headlines&amp;utm_content=20260220&amp;tpcc=enlz-behind_the_headlines&amp;UUID=9d1a14b6-2ab5-4fe1-a73c-7c57d6428f9b&amp;tc=31</t>
  </si>
  <si>
    <t>https://tarantas.news/en/posts/id12727-chery-delays-european-factory-production-to-2026-amid-eu-market-shifts</t>
  </si>
  <si>
    <t>https://www.mysteel.net/news/5107363-flash-envision-aesc-uk-battery-gigafactory-officially-puts-into-operation</t>
  </si>
  <si>
    <t>1500MW Wind &amp; 150MW 2hr BESS</t>
  </si>
  <si>
    <t>https://qazinform.com/news/chinese-investors-to-launch-2-billion-renewable-energy-projects-in-kazakhstan-35b36c#:~:text=These%20areas%20were%20selected%20due,wind%20farm%20in%20the%20Caucasus.</t>
  </si>
  <si>
    <t>(blank)</t>
  </si>
  <si>
    <t>Global South</t>
  </si>
  <si>
    <t>Global North</t>
  </si>
  <si>
    <t>Disclaimer</t>
  </si>
  <si>
    <r>
      <t xml:space="preserve">This analysis was conducted by </t>
    </r>
    <r>
      <rPr>
        <b/>
        <sz val="12"/>
        <color theme="1"/>
        <rFont val="Aptos Narrow"/>
        <scheme val="minor"/>
      </rPr>
      <t>Climate Energy Finance</t>
    </r>
  </si>
  <si>
    <t>https://climateenergyfinance.org/</t>
  </si>
  <si>
    <r>
      <t xml:space="preserve">For any questions related to this analysis, please contact </t>
    </r>
    <r>
      <rPr>
        <b/>
        <sz val="12"/>
        <color theme="1"/>
        <rFont val="Aptos Narrow"/>
        <scheme val="minor"/>
      </rPr>
      <t>Climate Energy Finance</t>
    </r>
    <r>
      <rPr>
        <sz val="12"/>
        <color theme="1"/>
        <rFont val="Aptos"/>
        <family val="2"/>
      </rPr>
      <t xml:space="preserve"> at: </t>
    </r>
  </si>
  <si>
    <t>Tim Buckley</t>
  </si>
  <si>
    <t>tim@climateenergyfinance.org</t>
  </si>
  <si>
    <t>Matt Pollard</t>
  </si>
  <si>
    <t>matt@climateenergyfinance.org</t>
  </si>
  <si>
    <t>© Climate Energy Finance 2025. All material in this work is copyright Climate Energy Finance except where a third party source is indicated. CEF copyright material is licensed under the Creative Commons Attribution 3.0 Australia License. You are free to copy, communicate and adapt the material with attribution to CEF and the authors.</t>
  </si>
  <si>
    <t>Important information</t>
  </si>
  <si>
    <t>This is for information and educational purposes only. CEF does not provide tax, legal, investment or accounting advice. This report is not intended to provide, and should not be relied on for, tax, legal, investment or accounting advice. Nothing in this report is intended as investment advice, as an offer or solicitation of an offer to buy or sell, or as a recommendation, endorsement, or sponsorship of any security, company, or fund. CEF is not responsible for any investment decision made by you. You are responsible for your own investment research and investment decisions. This report is not meant as a general guide to investing, nor as a source of any specific investment recommendation. Unless attributed to others, any opinions expressed are our current opinions only. Certain information presented may have been provided by third parties. CEF believes that such third-party information is reliable, and has checked public records to verify it wherever possible, but does not guarantee its accuracy, timeliness or completeness; and it is subject to change without notice.</t>
  </si>
  <si>
    <t>Data Tables</t>
  </si>
  <si>
    <t>Global Cleantech</t>
  </si>
  <si>
    <t xml:space="preserve">A table of China's outbound foreign direct investment into clean technologies globally. </t>
  </si>
  <si>
    <t>Global Resources</t>
  </si>
  <si>
    <t>A table of China's outbound foreign direct investment into resource supply chains</t>
  </si>
  <si>
    <t>Summary Tables and Figures</t>
  </si>
  <si>
    <t>North and South</t>
  </si>
  <si>
    <t>Batteries</t>
  </si>
  <si>
    <t>Region Chart</t>
  </si>
  <si>
    <t>Technology Chart</t>
  </si>
  <si>
    <t>Pivot summary and table of cleantech OFDI by region</t>
  </si>
  <si>
    <t>Pivot summary and table of cleantech OFDI by technology</t>
  </si>
  <si>
    <t>Pivot summary and table of OFDI investments, classified into the Global North and Global South.</t>
  </si>
  <si>
    <t>Pivot summary and table of battery and battery material manufacturing OFDI by region</t>
  </si>
  <si>
    <t>Table of Contents</t>
  </si>
  <si>
    <t>Description</t>
  </si>
  <si>
    <t>Simandou Capex Funding Breakdown</t>
  </si>
  <si>
    <t>Funding</t>
  </si>
  <si>
    <t>Simfer</t>
  </si>
  <si>
    <t>WCS</t>
  </si>
  <si>
    <t>Capex (US$bn)</t>
  </si>
  <si>
    <t>Weiqiao Aluminium</t>
  </si>
  <si>
    <t>Winning International</t>
  </si>
  <si>
    <t>CIOH</t>
  </si>
  <si>
    <t>Chinalco</t>
  </si>
  <si>
    <t>Baowu</t>
  </si>
  <si>
    <t>China Rail Construction Co</t>
  </si>
  <si>
    <t>Chinese Investment</t>
  </si>
  <si>
    <t>Entity</t>
  </si>
  <si>
    <t>Ownership</t>
  </si>
  <si>
    <t>Guinea Government</t>
  </si>
  <si>
    <t>Total Ownership</t>
  </si>
  <si>
    <t>Sector</t>
  </si>
  <si>
    <t>Resource</t>
  </si>
  <si>
    <t>Partner</t>
  </si>
  <si>
    <t>Identified Investment (US$m)</t>
  </si>
  <si>
    <t>Estimated Investment (US$m)</t>
  </si>
  <si>
    <t>Total Investment (US$m)</t>
  </si>
  <si>
    <t>Date</t>
  </si>
  <si>
    <t>Rare Earths</t>
  </si>
  <si>
    <t>Shenghe Resources</t>
  </si>
  <si>
    <t xml:space="preserve">50% equity stake in Wigu Hill rare earth proposal from ASX-listed Vital Metals. </t>
  </si>
  <si>
    <t xml:space="preserve">Stake in Vital Metals with A$6m for 9.99% equity. </t>
  </si>
  <si>
    <t>Binding agreement for full acquisition of ASX-listed Peak Rare Earths</t>
  </si>
  <si>
    <t>Critical Minerals</t>
  </si>
  <si>
    <t>Lithium</t>
  </si>
  <si>
    <t>Mali</t>
  </si>
  <si>
    <t xml:space="preserve">Ganfeng Lithium buy out Mali JV partner Leo Lithium's 40% stake for US$343m. </t>
  </si>
  <si>
    <t>Sinomine Resource Group</t>
  </si>
  <si>
    <t xml:space="preserve">US$300m investment into lithium spodumene refinery at Bikita Mine's 300,000tpa lithium operation. Sinomine acquired Bikita for US$180m in 2022. </t>
  </si>
  <si>
    <t xml:space="preserve">Reports of Sinomine planning US$500m lithium sulphate plant at Bikita Mine. </t>
  </si>
  <si>
    <t>Yahua Industrial Group</t>
  </si>
  <si>
    <t xml:space="preserve">Reports of Yahua building downstream lithium sulphate plant. </t>
  </si>
  <si>
    <t xml:space="preserve">50-60,000tpa lithium sulphate plant in Zimbabwe (Arcadia plant). </t>
  </si>
  <si>
    <t>Acquisition of Acadia lithium mine from ASX Prospect Resources</t>
  </si>
  <si>
    <t>Arcadia 450,000tpa lithium concentrate plant</t>
  </si>
  <si>
    <t>Unknown</t>
  </si>
  <si>
    <t>Kuvimba Mining sign MoU for BOT agreement twith two unnamed Chinese investors (speculated to be Zhejiang Huayou Cobalt and Tsingshan Holding Group) to construct 600ktpa lithium concentrator at Sandawana Mine</t>
  </si>
  <si>
    <t>Chengxin Lithium Group</t>
  </si>
  <si>
    <t>Chengxin Lithium Group commission a lithium concentrator at the Sabi Star Mine in Zimbabwe's Masvingo Province, producing 300,000tpa of lithium</t>
  </si>
  <si>
    <t>Rwizi Rukuru</t>
  </si>
  <si>
    <t>Commissioning of 300tpd lithium concentrator in Mutoko</t>
  </si>
  <si>
    <t>Shengxiang Investments</t>
  </si>
  <si>
    <t>Completed construction of 360ktpa lithium concentrator.</t>
  </si>
  <si>
    <t>Various</t>
  </si>
  <si>
    <t>Various investments from Chinese firms into lithium mining and refining in Nigeria</t>
  </si>
  <si>
    <t>https://www.mining-technology.com/news/nigeria-lithium-processing-plants-chinese-investment/?cf-view</t>
  </si>
  <si>
    <t>Zijin Mining Group</t>
  </si>
  <si>
    <t>Cominière</t>
  </si>
  <si>
    <t>50% equity stake in 5Mtpa Manono lithium JV with Congo SOE</t>
  </si>
  <si>
    <t>Series of investment announcements by five Chinese firms planning to invest a total of US$1.75bn in Ethiopia's mining and solar sectors.</t>
  </si>
  <si>
    <t>Sichuan Yahua Industrial Group</t>
  </si>
  <si>
    <t>LGES</t>
  </si>
  <si>
    <t>30,000tpa lithium hydroxide refinery in Morocco</t>
  </si>
  <si>
    <t xml:space="preserve">Acquisition of Lithea Inc. </t>
  </si>
  <si>
    <t>Acquisition of 15% stake in project from Lithium Argentina</t>
  </si>
  <si>
    <t>Commence production at its new US$600m Tres Quebradas phase 1 20,000tpa Lithium Carbonate Project in Argentina</t>
  </si>
  <si>
    <t>plans to invest US$1bn to build lithium extraction plants to produce lithium in the Salar De Uyuni and Salar de Coipasa, Bolivia</t>
  </si>
  <si>
    <t>Paused further US$800m spending on development in Mexico following cancellation of mining rights</t>
  </si>
  <si>
    <t>C$176m plan for 1Mtpa lithium processing plant at Tanco</t>
  </si>
  <si>
    <t>Mongolia</t>
  </si>
  <si>
    <t>51% stake in lithium recylcing plant and lithium processing</t>
  </si>
  <si>
    <t>Strategic Metals</t>
  </si>
  <si>
    <t>Iron Ore</t>
  </si>
  <si>
    <t>Simandou</t>
  </si>
  <si>
    <t>Guinea</t>
  </si>
  <si>
    <t>Simandou Project - Funding</t>
  </si>
  <si>
    <t>China Kingho Energy Group</t>
  </si>
  <si>
    <t>Sierra Leone</t>
  </si>
  <si>
    <t>full commissioning at a cost of US$230m of a 12Mtpa 65% iron ore processing plant to lift the grade up from 55% previously at the Tonkolili iron ore mine</t>
  </si>
  <si>
    <t>Iron Metal</t>
  </si>
  <si>
    <t>Tsingshan Group</t>
  </si>
  <si>
    <t>nearing completion of a US$1.5bn 600,000tpa expansion of its pig iron plant in Manhize, south of Harare in Zimbabwe</t>
  </si>
  <si>
    <t>Jinzhao Group</t>
  </si>
  <si>
    <t>likely to see construction commence on Jinzhao Mining's US$1.8bn 22Mtpa Pampa de Pongo iron proposal in the Arequipa region of Peru</t>
  </si>
  <si>
    <t>Jinnan Iron &amp; Steel Group</t>
  </si>
  <si>
    <t>Vale</t>
  </si>
  <si>
    <t>iron ore concentration plant in Oman's Sohar Port and Freezone to process 18Mtpa of iron ore to produce 12.6Mtpa feedstock pellets suitable for the DRI-EAF process</t>
  </si>
  <si>
    <t>Shougang Group</t>
  </si>
  <si>
    <t>Fujian Hengwang Investment Co</t>
  </si>
  <si>
    <t>US$1.2bn low-carbon steel plant in Kazakhstan's Jambyl region leveraging locally sourced iron ore</t>
  </si>
  <si>
    <t>arge-scale integrated steel plant designed to be Africa's largest steelworks, doubling  existing capacity to 1.2Mtpa</t>
  </si>
  <si>
    <t>Baoshan Iron &amp; Steel</t>
  </si>
  <si>
    <t>Aramco &amp; PIF</t>
  </si>
  <si>
    <t>2.5Mtpa DRI / 1.5Mtpa metal plate integrated manufacturing facility in Ras Al-Khair SEZ</t>
  </si>
  <si>
    <t>US$10bn integrated green steel industrial precinct and supply chains in the Duqm Special Economic Zone, Oman</t>
  </si>
  <si>
    <t>Precious Metals</t>
  </si>
  <si>
    <t>Gold</t>
  </si>
  <si>
    <t>Zhaojin Mining Industry Group</t>
  </si>
  <si>
    <t>Ivory Coast</t>
  </si>
  <si>
    <t>Acquisition of Tietto Minerals, flagship asset Abujar Gold Mine in Ivory Coast</t>
  </si>
  <si>
    <t>CMOC</t>
  </si>
  <si>
    <t>Ecuador</t>
  </si>
  <si>
    <t>Acquisiotn of Lumina Gold Corp (Cangrejos deposit)</t>
  </si>
  <si>
    <t>Acquisition of Raygorodok Gold Mine</t>
  </si>
  <si>
    <t>Ghana</t>
  </si>
  <si>
    <t>Acquisition of Akyem Gold Mine from Newmont</t>
  </si>
  <si>
    <t>Acquisition of Equinox Gold's Brazilian gold assets</t>
  </si>
  <si>
    <t>Jilin Mining Group</t>
  </si>
  <si>
    <t>Proposed acquisition of Allied Gold</t>
  </si>
  <si>
    <t>Copper</t>
  </si>
  <si>
    <t>Expansion of Toromocho mine - 300,000tpa</t>
  </si>
  <si>
    <t>Baiyin Nonferrous Group</t>
  </si>
  <si>
    <t>Acquisition of MVV</t>
  </si>
  <si>
    <t>CMCGC</t>
  </si>
  <si>
    <t>DRC</t>
  </si>
  <si>
    <t>CMCGC commissioning of Longxi mining and smelter operation - 40ktpa cathode copper</t>
  </si>
  <si>
    <t>CMOC Group provide a progress report on its US$1.1bn KFM Phase II Project</t>
  </si>
  <si>
    <t>Kamoa Copper S.A.’s new US$1.1bn blister copper concentrate refinery reach first copper anode production at the location of its Kamoa-Kakula mine. Zijin Mining Group has 40% equity stake</t>
  </si>
  <si>
    <t>Sicomines</t>
  </si>
  <si>
    <t>Uplift in life-of-mine infrastructure upgrade by US$4bn to 2040</t>
  </si>
  <si>
    <t>Dowstone Technology</t>
  </si>
  <si>
    <t>Dowstone Technology propose a US$165m investment in a copper smelter in the Congo</t>
  </si>
  <si>
    <t>Jiangxi Copper</t>
  </si>
  <si>
    <t>Proposed acquiition of SolGold</t>
  </si>
  <si>
    <t>Boway Alloy</t>
  </si>
  <si>
    <t>Moroccco</t>
  </si>
  <si>
    <t>30,000tpa of special copper alloy electronic material strips in Nador Province, Morocco</t>
  </si>
  <si>
    <t>Afghanistan</t>
  </si>
  <si>
    <t>CMCGC hold the groundbreaking ceremony of Mes Ayank</t>
  </si>
  <si>
    <t>China Nonferrous Metal Mining Co</t>
  </si>
  <si>
    <t>300,000tpa copper smelter in the Abay region, Kazakhstan</t>
  </si>
  <si>
    <t>Additional investment MoU with Serbian Gov for Bor copper</t>
  </si>
  <si>
    <t>Nickel</t>
  </si>
  <si>
    <t>Nickel JV w/ Antam and IBC</t>
  </si>
  <si>
    <t>Nickel JV w/ Antam and IBC into integrated battery facility</t>
  </si>
  <si>
    <t>CNGR</t>
  </si>
  <si>
    <t>CNGR announce grand plans to invest up to US$10bn in a vertically integrated nickel production facility in Indonesia in three phases over the next 10-15 years</t>
  </si>
  <si>
    <t>Expansion to pCAM</t>
  </si>
  <si>
    <t>propose to take on the development of Indonesia’s high-profile Project Titan, a proposed US$8.45bn EV battery hub</t>
  </si>
  <si>
    <t>HYD Investment JV in West Java</t>
  </si>
  <si>
    <t>Zhongzhou Mining</t>
  </si>
  <si>
    <t>Tanzania's first nickel and copper refining plant processing 280,000tpa</t>
  </si>
  <si>
    <t>MMG</t>
  </si>
  <si>
    <t xml:space="preserve">MMG acquire Anglo American’s nickel assets in Brazil in a US$500m </t>
  </si>
  <si>
    <t>Sum of Total Investment (US$m)</t>
  </si>
  <si>
    <t>Resource Region Chart</t>
  </si>
  <si>
    <t>Pivot summary and table of resource OFDI by region</t>
  </si>
  <si>
    <t>Funding table of Simandou iron ore project</t>
  </si>
  <si>
    <t>https://www.cnbcafrica.com/2025/huayou-to-start-zimbabwe-lithium-sulphate-production-early-2026</t>
  </si>
  <si>
    <t>construction  completion due 1QCY2026 at PT Kolaka Nickel Indonesia (KNI)’s Pomalaa Block Project. KNI is a JV controlled by Zhejiang Huayou Cobalt Co. (73%), Vale Indonesia (18%) and Ford Motor (8.5%).</t>
  </si>
  <si>
    <t>Aluminium</t>
  </si>
  <si>
    <t> phase 2 of the first Guinea alumina refinery, plus an associated captive 250MW coal fired power plant</t>
  </si>
  <si>
    <t>Chalco</t>
  </si>
  <si>
    <t>12Mtpa bauxite mine in the Boffa area, which was commissioned in 2024</t>
  </si>
  <si>
    <t>Chalco is proceeding with a US$700m Boffa expansion</t>
  </si>
  <si>
    <t>Shandong Innovation Group</t>
  </si>
  <si>
    <t>PIF</t>
  </si>
  <si>
    <t>PIF and Red Sea Aluminium Holdings (a subsidiary of China’s Shandong Innovation Group) to invest SR38bn (US$10bn) in the development of an advanced, integrated aluminum complex in Yanbu, Saudi Arabia</t>
  </si>
  <si>
    <t>Chinalco (67% share) partner with Rio Tinto (33% share) bid to acquire from Brazilian conglomerate Grupo Votorantim their controlling 68.6% stake in Companhia Brasileira de Aluminio</t>
  </si>
  <si>
    <t>Lygend Resources</t>
  </si>
  <si>
    <t>Xinfa Group</t>
  </si>
  <si>
    <t>Tsingshan Holding Group</t>
  </si>
  <si>
    <t>Shandong Nanshan Aluminium</t>
  </si>
  <si>
    <t xml:space="preserve">Kaltara Project, located in the Kalimantan Industrial Park Indonesia (KIPI). three phases of 500,000tpa each. Phase I began partial operations in January 2026, with phase 2 expected on line by the end of 2026, both powered by behind the meter coal power. The third 500,000tpa phase is due by 2029. </t>
  </si>
  <si>
    <t>The Bintan Project is being developed by Shandong Nanshan Aluminium. This facility is located in the Galang Batang Special Economic Zone, with a phase I of 400,000tpa is expected online by end 2026, with a final planned capacity of 1mtpa.</t>
  </si>
  <si>
    <t>propose a US$15bn industrial park in the Pavlodar region of Kazakhstan, integrated from coal and bauxite mining to aluminium smelters, and downstream manufacturing of wires and smartphone components</t>
  </si>
  <si>
    <t>https://www.argusmedia.com/en/news-and-insights/latest-market-news/2768506-viewpoint-asean-aluminium-output-to-reach-2.7mn-t</t>
  </si>
  <si>
    <t>https://www.mining-technology.com/news/shandong-nanshang-aluminium-indonesia-smelter/#:~:text=Shandong%20Nanshang%20announces%20$6bn,of%20the%20island%20of%20Borneo.</t>
  </si>
  <si>
    <t>Alamtri Resources (nee Adaro)</t>
  </si>
  <si>
    <t>The Huaqing Aluminium Project represent a collaboration phase 1 is nearing completion at the IMIP. The first phase of 500,000tpa has been energised, with an ultimate goal of 1Mtpa.</t>
  </si>
  <si>
    <t>https://www.hpcarbonmachine.com/news/how-many-new-and-planned-electrolytic-aluminum-projects-are-there/#:~:text=HUAFON%20&amp;%20TSINGSHAN%20Aluminum%20Industry%20is,currently%20being%20prepared%20for%20construction.</t>
  </si>
  <si>
    <t xml:space="preserve"> Xinfa Group</t>
  </si>
  <si>
    <t>Joint ventures for the Juwan and Taijing smelters at IWIP and IMIP totalling 1Mtpa</t>
  </si>
  <si>
    <t>Huafeng Group (Huafon)</t>
  </si>
  <si>
    <t>Less speculated</t>
  </si>
  <si>
    <t>Net Total</t>
  </si>
  <si>
    <t>Resources Investment by China - Regional Breakdown</t>
  </si>
  <si>
    <t>Ica Region</t>
  </si>
  <si>
    <t>136MW wind farm</t>
  </si>
  <si>
    <t>https://www.ctg.com.cn/ctgenglish/news_media/news37/2026011314210722951/index.html#:~:text=Recently%2C%20Luz%20del%20Sur%20S.A.A.,%E2%80%93wind%E2%80%93solar%20energy%20mix.</t>
  </si>
  <si>
    <t>90MW wind farm</t>
  </si>
  <si>
    <t>https://www.leadersleague.com/en/news/china-three-gorges-purchases-additional-stake-in-peru-s-luz-del-sur</t>
  </si>
  <si>
    <t>https://www.americaeconomia.com/en/business-industries/bcp-granted-green-financing-more-us-100-million-luz-del-sur#:~:text=In%20this%20way%2C%20the%20company,and%20exposure%20to%20climate%20change.</t>
  </si>
  <si>
    <t>https://www.ctgi.cn/ctgi/new/esg_news_and_reports/shouye/2025101610492879215/index.html#:~:text=On%20Oct.,regional%20development%20through%20this%20project.</t>
  </si>
  <si>
    <t>Columbia</t>
  </si>
  <si>
    <t>https://www.ctg.com.cn/ctgenglish/news_media/news37/2025122215512388368/index.html</t>
  </si>
  <si>
    <t>Built a 58MW Baranoa Solar PV Project</t>
  </si>
  <si>
    <t>Tianneng Group</t>
  </si>
  <si>
    <t>250MW solar 1GWh BESS</t>
  </si>
  <si>
    <t>https://en.cnesa.org/latest-news/2026/1/25/tianneng-signs-a-1gwh-project-in-malaysia-build-a-benchmark-for-integrated-solar-storage-computingsolutions#:~:text=Recently%2C%20Tianneng%20Group%20signed%20a%20strategic%20agreement,will%20be%20developed%20under%20an%20%E2%80%9CEPC+F%E2%80%9D%20model.</t>
  </si>
  <si>
    <t>GAC Aion</t>
  </si>
  <si>
    <t>https://www.electrive.com/2026/02/02/byd-begins-trial-production-of-passenger-cars-in-hungary/#:~:text=At%20the%20IAA%20Mobility%20in,due%20to%20several%20legal%20disputes.</t>
  </si>
  <si>
    <t>https://www.turkishminute.com/2026/01/14/chinas-byd-starts-building-ev-plant-as-part-of-billion-dollar-investment-in-turkey/#:~:text=Turkey's%20Ministry%20of%20Industry%20and,by%20the%20end%20of%202026.</t>
  </si>
  <si>
    <t>İzmir</t>
  </si>
  <si>
    <t>https://cnevpost.com/2025/07/03/byd-suspends-plans-car-plant-mexico/</t>
  </si>
  <si>
    <t>https://www.businessday.co.za/world/international-companies/2026-02-12-exclusive-chinese-automakers-eye-mexico-plant-amid-tariff-turmoil/#:~:text=Emily%20Green,mostly%20building%20US%2Dbound%20vehicles.</t>
  </si>
  <si>
    <t>Runergy</t>
  </si>
  <si>
    <t>https://hvilleblast.com/runergy-plant-expansion-among-new-building-permits/#:~:text=Runergy's%20solar%20module%20manufacturing%20facility,people%20at%20its%20Huntsville%20plant.</t>
  </si>
  <si>
    <t>https://www.pv-tech.org/corning-acquires-ja-solar-2gw-us-module-assembly-plant/#:~:text=The%20plant%20will%20be%20an,owned%20subsidiary%20of%20the%20company.</t>
  </si>
  <si>
    <t>2GW modules pa - sold Jul'25 to Corning US$22m</t>
  </si>
  <si>
    <t xml:space="preserve">https://www.ft.com/content/8f5b7a2b-149c-4084-8acb-70459fad8491?emailId=0a30cbf5-6d44-48fd-a044-b36d7c8f5c8c&amp;segmentId=60a126e8-df3c-b524-c979-f90bde8a67cd&amp;syn-25a6b1a6=1 </t>
  </si>
  <si>
    <t>Polestar</t>
  </si>
  <si>
    <t>Debt for equity swap to go to 19.9% equity stake</t>
  </si>
  <si>
    <t>https://www.ft.com/content/3bbf79be-08f7-4012-b0b7-a5894181af1b?utm_campaign=China%20Briefing%20EV%20profits%20rise%20Ming%20Yang%20rejected%20Iran%20war&amp;utm_medium=email&amp;utm_source=cbnewsletter&amp;utm_term=2026-04-03&amp;syn-25a6b1a6=1</t>
  </si>
  <si>
    <t>Offshore wind turbines - approval rejected Apr'26</t>
  </si>
  <si>
    <t>https://finance.yahoo.com/news/byd-explores-canada-plant-potential-113505920.html?guccounter=1&amp;guce_referrer=aHR0cHM6Ly93d3cubGlua2VkaW4uY29tLw&amp;guce_referrer_sig=AQAAALWUlePBvEuIGKIt7JHsvAUeETZsUujxXXYW0yNcJO_inh2W5zldsJom-pVof7ZdIov1e3N4vA3u7jCMo541NrARkUaas6-87ZvieISMOYlbsEjYjZMnFH-VgTack33NX7Brn53qLrPFFKt--NCjhXB3IAkvdm7YXqyat3IlAfJ9</t>
  </si>
  <si>
    <t>Ingersoll, Ontario</t>
  </si>
  <si>
    <t>SAIC Motor</t>
  </si>
  <si>
    <t>JSW Group</t>
  </si>
  <si>
    <t>NEV Mfg - expand from 120,000 units pa to 300kpa</t>
  </si>
  <si>
    <t>https://www.reuters.com/world/china/saics-india-venture-invest-up-440-million-expansion-deepen-bet-hybrids-evs-2026-02-16/#:~:text=NEW%20DELHI%2C%20Feb%2016%20(Reuters,has%20yet%20to%20turn%20profitable.</t>
  </si>
  <si>
    <t>Halol, Gujarat</t>
  </si>
  <si>
    <t>https://www.electronicsforyou.biz/industry-buzz/saic-motor-jsw-group-form-joint-venture-for-mg-motor-india/</t>
  </si>
  <si>
    <t>https://www.bloomberg.com/news/articles/2026-04-15/chinese-nickel-tycoon-taps-top-global-traders-for-aluminum-push?accessToken=eyJhbGciOiJIUzI1NiIsInR5cCI6IkpXVCJ9.eyJzb3VyY2UiOiJTdWJzY3JpYmVyR2lmdGVkQXJ0aWNsZSIsImlhdCI6MTc3NjI2NTIzOCwiZXhwIjoxNzc2ODcwMDM4LCJhcnRpY2xlSWQiOiJUREY2MEJLSzNOWUUwMCIsImJjb25uZWN0SWQiOiI2NDE3Q0MyOEI4QUI0ODU5QjkyRjU0RURBQ0EzN0EwOCJ9.rYBHP7C8SGzJGVol8Hjj4S9on7Uj-9lYsPCV88CZ63U</t>
  </si>
  <si>
    <t>Navarre region</t>
  </si>
  <si>
    <t>Battery Mfg,</t>
  </si>
  <si>
    <t>https://www.energy-storage.news/hithium-signs-e400-million-spain-battery-gigafactory-investment-agreement-after-two-year-courtship/?utm_source=linkedin&amp;utm_medium=volta_newsletter&amp;utm_campaign=volta_newsletter_20260418</t>
  </si>
  <si>
    <t>https://www.linkedin.com/posts/shawnqu_canadiansolar-usmanufacturing-madeinusa-activity-7452166590994948096-ihWy?utm_source=share&amp;utm_medium=member_desktop&amp;rcm=ACoAAAK_xL4BN5TFIx7F-X4g0YfwtHJ1QLTvZoQ</t>
  </si>
  <si>
    <t>Global Lithium</t>
  </si>
  <si>
    <t>Canmax / Sincerity Group</t>
  </si>
  <si>
    <t>https://www.afr.com/companies/mining/global-lithium-alleges-chinese-investor-wants-to-seize-control-20241108-p5kp4v</t>
  </si>
  <si>
    <t>https://wcsecure.weblink.com.au/pdf/GL1/03081300.pdf</t>
  </si>
  <si>
    <t>Column3</t>
  </si>
  <si>
    <t>Xi’an Lanshen New Material Tech Co.</t>
  </si>
  <si>
    <t>Argentina Lithium &amp; Energy</t>
  </si>
  <si>
    <t>$100m fundng to advance Rincon West DLE brine project in Salta province.</t>
  </si>
  <si>
    <t>https://www.mining.com/argentina-lithium-enters-100m-deal-with-chinese-partner-to-advance-rincon-west/</t>
  </si>
  <si>
    <t>Column4</t>
  </si>
  <si>
    <t>https://vale.com/w/vale-and-jinnan-steel-and-iron-group-annouce-investment-in-iron-ore-concentration-plant-in-oman#:~:text=Iron%20Ore-,Vale%20and%20Jinnan%20Steel%20&amp;%20Iron%20Group%20annouce%20investment%20in%20iron,briquettes%2C%20with%20reduced%20environmental%20impact.</t>
  </si>
  <si>
    <t>https://www.catl.com/en/news/6614.html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</si>
</sst>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mm\-yyyy"/>
    <numFmt numFmtId="165" formatCode="_(* #,##0_);_(* \(#,##0\);_(* &quot;-&quot;??_);_(@_)"/>
    <numFmt numFmtId="166" formatCode="0.0%"/>
    <numFmt numFmtId="167" formatCode="0.0"/>
  </numFmts>
  <fonts count="18" x14ac:knownFonts="1">
    <font>
      <sz val="12"/>
      <color theme="1"/>
      <name val="Aptos"/>
      <family val="2"/>
    </font>
    <font>
      <b/>
      <sz val="12"/>
      <color theme="1"/>
      <name val="Aptos"/>
    </font>
    <font>
      <sz val="12"/>
      <color theme="1"/>
      <name val="Aptos"/>
      <family val="2"/>
    </font>
    <font>
      <u/>
      <sz val="12"/>
      <color theme="10"/>
      <name val="Aptos"/>
      <family val="2"/>
    </font>
    <font>
      <sz val="12"/>
      <color rgb="FF000000"/>
      <name val="Aptos"/>
      <family val="2"/>
    </font>
    <font>
      <sz val="12"/>
      <color rgb="FF000000"/>
      <name val="Calibri"/>
      <family val="2"/>
    </font>
    <font>
      <sz val="8"/>
      <name val="Aptos"/>
      <family val="2"/>
    </font>
    <font>
      <sz val="12"/>
      <color theme="1"/>
      <name val="Aptos Narrow"/>
      <family val="2"/>
      <scheme val="minor"/>
    </font>
    <font>
      <b/>
      <sz val="12"/>
      <color theme="1"/>
      <name val="Aptos Narrow"/>
      <scheme val="minor"/>
    </font>
    <font>
      <u/>
      <sz val="12"/>
      <color theme="10"/>
      <name val="Aptos Narrow"/>
      <family val="2"/>
      <scheme val="minor"/>
    </font>
    <font>
      <sz val="11"/>
      <color rgb="FF000000"/>
      <name val="Aptos"/>
    </font>
    <font>
      <sz val="11"/>
      <color theme="1"/>
      <name val="Aptos Narrow"/>
      <family val="2"/>
      <scheme val="minor"/>
    </font>
    <font>
      <b/>
      <sz val="12"/>
      <color theme="0"/>
      <name val="Aptos"/>
    </font>
    <font>
      <i/>
      <sz val="12"/>
      <color theme="1"/>
      <name val="Aptos"/>
    </font>
    <font>
      <sz val="12"/>
      <color theme="1"/>
      <name val="Aptos"/>
    </font>
    <font>
      <sz val="12"/>
      <color rgb="FF000000"/>
      <name val="Aptos"/>
    </font>
    <font>
      <u/>
      <sz val="12"/>
      <color theme="10"/>
      <name val="Aptos"/>
    </font>
    <font>
      <b/>
      <u/>
      <sz val="14"/>
      <color theme="1"/>
      <name val="Aptos"/>
    </font>
  </fonts>
  <fills count="10">
    <fill>
      <patternFill patternType="none"/>
    </fill>
    <fill>
      <patternFill patternType="gray125"/>
    </fill>
    <fill>
      <patternFill patternType="solid">
        <fgColor rgb="FFD9EAD3"/>
        <bgColor indexed="64"/>
      </patternFill>
    </fill>
    <fill>
      <patternFill patternType="solid">
        <fgColor rgb="FFF2F2F2"/>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3" tint="0.89999084444715716"/>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cellStyleXfs>
  <cellXfs count="87">
    <xf numFmtId="0" fontId="0" fillId="0" borderId="0" xfId="0"/>
    <xf numFmtId="0" fontId="1" fillId="0" borderId="0" xfId="0" applyFont="1"/>
    <xf numFmtId="0" fontId="0" fillId="2" borderId="0" xfId="0" applyFill="1" applyAlignment="1">
      <alignment vertical="center"/>
    </xf>
    <xf numFmtId="0" fontId="0" fillId="0" borderId="0" xfId="0" applyAlignment="1">
      <alignment vertical="center"/>
    </xf>
    <xf numFmtId="0" fontId="4" fillId="3" borderId="0" xfId="0" applyFont="1" applyFill="1"/>
    <xf numFmtId="0" fontId="0" fillId="0" borderId="0" xfId="0" quotePrefix="1"/>
    <xf numFmtId="0" fontId="3" fillId="0" borderId="0" xfId="2"/>
    <xf numFmtId="0" fontId="0" fillId="0" borderId="0" xfId="0" applyAlignment="1">
      <alignment horizontal="right"/>
    </xf>
    <xf numFmtId="0" fontId="0" fillId="0" borderId="0" xfId="0" applyAlignment="1">
      <alignment horizontal="left"/>
    </xf>
    <xf numFmtId="0" fontId="4" fillId="0" borderId="0" xfId="0" applyFont="1"/>
    <xf numFmtId="0" fontId="5" fillId="0" borderId="0" xfId="0" applyFont="1"/>
    <xf numFmtId="164" fontId="0" fillId="0" borderId="0" xfId="0" quotePrefix="1" applyNumberFormat="1"/>
    <xf numFmtId="164" fontId="0" fillId="0" borderId="0" xfId="0" applyNumberFormat="1"/>
    <xf numFmtId="0" fontId="3" fillId="0" borderId="0" xfId="2" applyAlignment="1">
      <alignment vertical="center"/>
    </xf>
    <xf numFmtId="164" fontId="0" fillId="0" borderId="0" xfId="1" quotePrefix="1" applyNumberFormat="1" applyFont="1" applyBorder="1"/>
    <xf numFmtId="164" fontId="0" fillId="0" borderId="0" xfId="0" quotePrefix="1" applyNumberFormat="1" applyAlignment="1">
      <alignment horizontal="right"/>
    </xf>
    <xf numFmtId="0" fontId="0" fillId="0" borderId="0" xfId="0" pivotButton="1"/>
    <xf numFmtId="3" fontId="0" fillId="0" borderId="0" xfId="0" applyNumberFormat="1"/>
    <xf numFmtId="3" fontId="0" fillId="0" borderId="0" xfId="1" applyNumberFormat="1" applyFont="1" applyBorder="1"/>
    <xf numFmtId="3" fontId="0" fillId="0" borderId="0" xfId="1" applyNumberFormat="1" applyFont="1"/>
    <xf numFmtId="3" fontId="0" fillId="0" borderId="0" xfId="1" applyNumberFormat="1" applyFont="1" applyBorder="1" applyAlignment="1"/>
    <xf numFmtId="3" fontId="0" fillId="0" borderId="0" xfId="1" applyNumberFormat="1" applyFont="1" applyAlignment="1">
      <alignment horizontal="right"/>
    </xf>
    <xf numFmtId="3" fontId="0" fillId="0" borderId="0" xfId="1" applyNumberFormat="1" applyFont="1" applyBorder="1" applyAlignment="1">
      <alignment horizontal="right"/>
    </xf>
    <xf numFmtId="164" fontId="0" fillId="4" borderId="0" xfId="0" quotePrefix="1" applyNumberFormat="1" applyFill="1"/>
    <xf numFmtId="0" fontId="0" fillId="2" borderId="0" xfId="0" applyFill="1" applyAlignment="1">
      <alignment horizontal="center" vertical="center" wrapText="1"/>
    </xf>
    <xf numFmtId="3" fontId="0" fillId="0" borderId="0" xfId="0" applyNumberFormat="1" applyAlignment="1">
      <alignment horizontal="right" wrapText="1"/>
    </xf>
    <xf numFmtId="3" fontId="2" fillId="0" borderId="0" xfId="1" applyNumberFormat="1" applyFont="1" applyFill="1" applyBorder="1" applyAlignment="1">
      <alignment horizontal="right"/>
    </xf>
    <xf numFmtId="3" fontId="0" fillId="0" borderId="0" xfId="1" applyNumberFormat="1" applyFont="1" applyAlignment="1">
      <alignment horizontal="right" wrapText="1"/>
    </xf>
    <xf numFmtId="3" fontId="0" fillId="0" borderId="0" xfId="1" applyNumberFormat="1" applyFont="1" applyBorder="1" applyAlignment="1">
      <alignment horizontal="right" wrapText="1"/>
    </xf>
    <xf numFmtId="3" fontId="0" fillId="0" borderId="0" xfId="0" applyNumberFormat="1" applyAlignment="1">
      <alignment horizontal="right"/>
    </xf>
    <xf numFmtId="3" fontId="0" fillId="0" borderId="0" xfId="1" quotePrefix="1" applyNumberFormat="1" applyFont="1" applyBorder="1" applyAlignment="1">
      <alignment horizontal="right"/>
    </xf>
    <xf numFmtId="3" fontId="0" fillId="0" borderId="0" xfId="1" applyNumberFormat="1" applyFont="1" applyFill="1" applyAlignment="1">
      <alignment horizontal="right"/>
    </xf>
    <xf numFmtId="3" fontId="0" fillId="0" borderId="0" xfId="1" applyNumberFormat="1" applyFont="1" applyFill="1" applyBorder="1" applyAlignment="1">
      <alignment horizontal="right"/>
    </xf>
    <xf numFmtId="3" fontId="0" fillId="0" borderId="0" xfId="1" quotePrefix="1" applyNumberFormat="1" applyFont="1" applyFill="1" applyBorder="1" applyAlignment="1">
      <alignment horizontal="right"/>
    </xf>
    <xf numFmtId="165" fontId="0" fillId="0" borderId="0" xfId="0" applyNumberFormat="1"/>
    <xf numFmtId="0" fontId="0" fillId="0" borderId="0" xfId="0" applyAlignment="1">
      <alignment horizontal="left" indent="1"/>
    </xf>
    <xf numFmtId="0" fontId="1" fillId="6" borderId="1" xfId="0" applyFont="1" applyFill="1" applyBorder="1"/>
    <xf numFmtId="0" fontId="1" fillId="0" borderId="1" xfId="0" applyFont="1" applyBorder="1" applyAlignment="1">
      <alignment horizontal="left"/>
    </xf>
    <xf numFmtId="0" fontId="0" fillId="0" borderId="1" xfId="0" applyBorder="1"/>
    <xf numFmtId="0" fontId="1" fillId="5" borderId="2" xfId="0" applyFont="1" applyFill="1" applyBorder="1"/>
    <xf numFmtId="3" fontId="1" fillId="5" borderId="2" xfId="0" applyNumberFormat="1" applyFont="1" applyFill="1" applyBorder="1"/>
    <xf numFmtId="3" fontId="0" fillId="0" borderId="1" xfId="0" applyNumberFormat="1" applyBorder="1"/>
    <xf numFmtId="0" fontId="1" fillId="0" borderId="2" xfId="0" applyFont="1" applyBorder="1"/>
    <xf numFmtId="3" fontId="1" fillId="0" borderId="2" xfId="0" applyNumberFormat="1" applyFont="1" applyBorder="1"/>
    <xf numFmtId="0" fontId="8" fillId="0" borderId="1" xfId="4" applyFont="1" applyBorder="1"/>
    <xf numFmtId="0" fontId="7" fillId="0" borderId="0" xfId="4"/>
    <xf numFmtId="0" fontId="9" fillId="0" borderId="0" xfId="5"/>
    <xf numFmtId="0" fontId="8" fillId="0" borderId="0" xfId="4" applyFont="1"/>
    <xf numFmtId="0" fontId="10" fillId="0" borderId="0" xfId="4" applyFont="1" applyAlignment="1">
      <alignment vertical="top" wrapText="1"/>
    </xf>
    <xf numFmtId="0" fontId="7" fillId="0" borderId="0" xfId="4" applyAlignment="1">
      <alignment wrapText="1"/>
    </xf>
    <xf numFmtId="0" fontId="11" fillId="0" borderId="0" xfId="4" applyFont="1" applyAlignment="1">
      <alignment vertical="top" wrapText="1"/>
    </xf>
    <xf numFmtId="0" fontId="12" fillId="7" borderId="0" xfId="0" applyFont="1" applyFill="1"/>
    <xf numFmtId="0" fontId="12" fillId="7" borderId="0" xfId="0" applyFont="1" applyFill="1" applyAlignment="1">
      <alignment horizontal="right"/>
    </xf>
    <xf numFmtId="166" fontId="0" fillId="0" borderId="0" xfId="0" applyNumberFormat="1"/>
    <xf numFmtId="2" fontId="0" fillId="0" borderId="0" xfId="0" applyNumberFormat="1"/>
    <xf numFmtId="0" fontId="13" fillId="0" borderId="0" xfId="0" applyFont="1" applyAlignment="1">
      <alignment horizontal="left" indent="1"/>
    </xf>
    <xf numFmtId="166" fontId="0" fillId="0" borderId="0" xfId="3" applyNumberFormat="1" applyFont="1"/>
    <xf numFmtId="9" fontId="1" fillId="5" borderId="2" xfId="0" applyNumberFormat="1" applyFont="1" applyFill="1" applyBorder="1"/>
    <xf numFmtId="9" fontId="0" fillId="0" borderId="0" xfId="0" applyNumberFormat="1"/>
    <xf numFmtId="167" fontId="1" fillId="5" borderId="2" xfId="0" applyNumberFormat="1" applyFont="1" applyFill="1" applyBorder="1"/>
    <xf numFmtId="0" fontId="14" fillId="0" borderId="0" xfId="0" applyFont="1" applyAlignment="1">
      <alignment vertical="top" wrapText="1"/>
    </xf>
    <xf numFmtId="3" fontId="14" fillId="0" borderId="0" xfId="0" applyNumberFormat="1" applyFont="1" applyAlignment="1">
      <alignment horizontal="right" vertical="top" wrapText="1"/>
    </xf>
    <xf numFmtId="0" fontId="14" fillId="0" borderId="0" xfId="0" applyFont="1" applyAlignment="1">
      <alignment horizontal="right" vertical="top" wrapText="1"/>
    </xf>
    <xf numFmtId="3" fontId="14" fillId="0" borderId="0" xfId="0" applyNumberFormat="1" applyFont="1" applyAlignment="1">
      <alignment vertical="top" wrapText="1"/>
    </xf>
    <xf numFmtId="17" fontId="14" fillId="0" borderId="0" xfId="0" applyNumberFormat="1" applyFont="1" applyAlignment="1">
      <alignment vertical="top" wrapText="1"/>
    </xf>
    <xf numFmtId="0" fontId="15" fillId="0" borderId="0" xfId="0" applyFont="1" applyAlignment="1">
      <alignment vertical="top" wrapText="1"/>
    </xf>
    <xf numFmtId="0" fontId="1" fillId="8" borderId="1" xfId="0" applyFont="1" applyFill="1" applyBorder="1"/>
    <xf numFmtId="0" fontId="0" fillId="8" borderId="1" xfId="0" applyFill="1" applyBorder="1"/>
    <xf numFmtId="0" fontId="1" fillId="9" borderId="1" xfId="0" applyFont="1" applyFill="1" applyBorder="1"/>
    <xf numFmtId="0" fontId="0" fillId="9" borderId="1" xfId="0" applyFill="1" applyBorder="1"/>
    <xf numFmtId="0" fontId="1" fillId="0" borderId="0" xfId="0" applyFont="1" applyAlignment="1">
      <alignment vertical="top" wrapText="1"/>
    </xf>
    <xf numFmtId="165" fontId="14" fillId="0" borderId="0" xfId="1" applyNumberFormat="1" applyFont="1" applyAlignment="1">
      <alignment vertical="top" wrapText="1"/>
    </xf>
    <xf numFmtId="0" fontId="0" fillId="0" borderId="0" xfId="0" applyAlignment="1">
      <alignment vertical="top" wrapText="1"/>
    </xf>
    <xf numFmtId="0" fontId="14" fillId="0" borderId="0" xfId="0" applyFont="1" applyAlignment="1">
      <alignment vertical="top"/>
    </xf>
    <xf numFmtId="0" fontId="15" fillId="0" borderId="0" xfId="0" applyFont="1" applyAlignment="1">
      <alignment vertical="top"/>
    </xf>
    <xf numFmtId="165" fontId="14" fillId="0" borderId="0" xfId="1" applyNumberFormat="1" applyFont="1" applyFill="1" applyAlignment="1">
      <alignment vertical="top" wrapText="1"/>
    </xf>
    <xf numFmtId="0" fontId="3" fillId="0" borderId="0" xfId="2" applyAlignment="1">
      <alignment vertical="top"/>
    </xf>
    <xf numFmtId="0" fontId="4" fillId="0" borderId="0" xfId="0" applyFont="1" applyAlignment="1">
      <alignment vertical="top"/>
    </xf>
    <xf numFmtId="0" fontId="4" fillId="0" borderId="0" xfId="0" applyFont="1" applyAlignment="1">
      <alignment vertical="top" wrapText="1"/>
    </xf>
    <xf numFmtId="0" fontId="0" fillId="0" borderId="0" xfId="0" applyAlignment="1">
      <alignment vertical="top"/>
    </xf>
    <xf numFmtId="165" fontId="14" fillId="0" borderId="0" xfId="0" applyNumberFormat="1" applyFont="1" applyAlignment="1">
      <alignment vertical="top" wrapText="1"/>
    </xf>
    <xf numFmtId="3" fontId="1" fillId="0" borderId="3" xfId="0" applyNumberFormat="1" applyFont="1" applyBorder="1" applyAlignment="1">
      <alignment vertical="top" wrapText="1"/>
    </xf>
    <xf numFmtId="0" fontId="1" fillId="0" borderId="4" xfId="0" applyFont="1" applyBorder="1" applyAlignment="1">
      <alignment vertical="top" wrapText="1"/>
    </xf>
    <xf numFmtId="165" fontId="1" fillId="0" borderId="5" xfId="0" applyNumberFormat="1" applyFont="1" applyBorder="1" applyAlignment="1">
      <alignment vertical="top" wrapText="1"/>
    </xf>
    <xf numFmtId="0" fontId="17" fillId="0" borderId="0" xfId="0" applyFont="1"/>
    <xf numFmtId="0" fontId="14" fillId="0" borderId="0" xfId="1" applyNumberFormat="1" applyFont="1" applyAlignment="1">
      <alignment vertical="top" wrapText="1"/>
    </xf>
    <xf numFmtId="0" fontId="16" fillId="0" borderId="0" xfId="2" applyFont="1" applyAlignment="1">
      <alignment vertical="top" wrapText="1"/>
    </xf>
  </cellXfs>
  <cellStyles count="6">
    <cellStyle name="Comma" xfId="1" builtinId="3"/>
    <cellStyle name="Hyperlink" xfId="2" builtinId="8"/>
    <cellStyle name="Hyperlink 2" xfId="5" xr:uid="{4DD206A7-A986-BD42-93D0-E10D0894ED06}"/>
    <cellStyle name="Normal" xfId="0" builtinId="0"/>
    <cellStyle name="Normal 2" xfId="4" xr:uid="{1A461E57-D052-C346-9AD3-58E60C3F71A0}"/>
    <cellStyle name="Per cent" xfId="3" builtinId="5"/>
  </cellStyles>
  <dxfs count="53">
    <dxf>
      <numFmt numFmtId="165" formatCode="_(* #,##0_);_(* \(#,##0\);_(* &quot;-&quot;??_);_(@_)"/>
    </dxf>
    <dxf>
      <numFmt numFmtId="165" formatCode="_(* #,##0_);_(* \(#,##0\);_(* &quot;-&quot;??_);_(@_)"/>
    </dxf>
    <dxf>
      <numFmt numFmtId="165" formatCode="_(* #,##0_);_(* \(#,##0\);_(* &quot;-&quot;??_);_(@_)"/>
    </dxf>
    <dxf>
      <numFmt numFmtId="165" formatCode="_(* #,##0_);_(* \(#,##0\);_(* &quot;-&quot;??_);_(@_)"/>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0"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numFmt numFmtId="3" formatCode="#,##0"/>
      <alignment horizontal="general" vertical="top" textRotation="0" wrapText="1" indent="0" justifyLastLine="0" shrinkToFit="0" readingOrder="0"/>
    </dxf>
    <dxf>
      <font>
        <strike val="0"/>
        <outline val="0"/>
        <shadow val="0"/>
        <vertAlign val="baseline"/>
        <sz val="12"/>
        <name val="Aptos"/>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scheme val="none"/>
      </font>
      <numFmt numFmtId="3" formatCode="#,##0"/>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strike val="0"/>
        <outline val="0"/>
        <shadow val="0"/>
        <vertAlign val="baseline"/>
        <sz val="12"/>
        <name val="Aptos"/>
        <scheme val="none"/>
      </font>
      <alignment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strike val="0"/>
        <outline val="0"/>
        <shadow val="0"/>
        <vertAlign val="baseline"/>
        <sz val="12"/>
        <name val="Aptos"/>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Aptos"/>
        <scheme val="none"/>
      </font>
    </dxf>
    <dxf>
      <numFmt numFmtId="164" formatCode="mmm\-yyyy"/>
    </dxf>
    <dxf>
      <alignment horizontal="right" vertical="bottom" textRotation="0" wrapText="0" indent="0" justifyLastLine="0" shrinkToFit="0" readingOrder="0"/>
    </dxf>
    <dxf>
      <alignment horizontal="right" textRotation="0" wrapText="0" indent="0" justifyLastLine="0" shrinkToFit="0" readingOrder="0"/>
    </dxf>
    <dxf>
      <numFmt numFmtId="3" formatCode="#,##0"/>
    </dxf>
    <dxf>
      <numFmt numFmtId="3" formatCode="#,##0"/>
    </dxf>
    <dxf>
      <numFmt numFmtId="3" formatCode="#,##0"/>
      <alignment horizontal="right" vertical="bottom" textRotation="0" wrapText="0" indent="0" justifyLastLine="0" shrinkToFit="0" readingOrder="0"/>
    </dxf>
    <dxf>
      <numFmt numFmtId="3" formatCode="#,##0"/>
      <alignment horizontal="right" vertical="bottom" textRotation="0" wrapText="1"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justifyLastLine="0" shrinkToFit="0" readingOrder="0"/>
    </dxf>
    <dxf>
      <font>
        <b/>
        <i val="0"/>
        <strike val="0"/>
        <condense val="0"/>
        <extend val="0"/>
        <outline val="0"/>
        <shadow val="0"/>
        <u val="none"/>
        <vertAlign val="baseline"/>
        <sz val="12"/>
        <color theme="1"/>
        <name val="Aptos"/>
        <scheme val="none"/>
      </font>
    </dxf>
    <dxf>
      <font>
        <strike val="0"/>
        <outline val="0"/>
        <shadow val="0"/>
        <u val="none"/>
        <vertAlign val="baseline"/>
        <sz val="12"/>
        <color theme="1"/>
        <name val="Aptos"/>
        <family val="2"/>
        <scheme val="none"/>
      </font>
      <fill>
        <patternFill patternType="solid">
          <fgColor indexed="64"/>
          <bgColor rgb="FFD9EAD3"/>
        </patternFill>
      </fill>
      <alignment horizontal="general" vertical="center" textRotation="0" wrapText="0" indent="0" justifyLastLine="0" shrinkToFit="0" readingOrder="0"/>
    </dxf>
    <dxf>
      <fill>
        <patternFill>
          <bgColor theme="0" tint="-4.9989318521683403E-2"/>
        </patternFill>
      </fill>
      <border diagonalUp="0" diagonalDown="0">
        <left/>
        <right/>
        <top/>
        <bottom/>
        <vertical/>
        <horizontal/>
      </border>
    </dxf>
    <dxf>
      <font>
        <b/>
        <i val="0"/>
        <color theme="1"/>
      </font>
      <fill>
        <patternFill>
          <fgColor auto="1"/>
          <bgColor rgb="FFD9EAD3"/>
        </patternFill>
      </fill>
    </dxf>
  </dxfs>
  <tableStyles count="1" defaultTableStyle="Table Style 1" defaultPivotStyle="PivotStyleLight16">
    <tableStyle name="Table Style 1" pivot="0" count="2" xr9:uid="{FC703DE1-7440-D549-B6F4-BEC98926EAAF}">
      <tableStyleElement type="headerRow" dxfId="52"/>
      <tableStyleElement type="firstRowStripe" dxfId="51"/>
    </tableStyle>
  </tableStyles>
  <colors>
    <mruColors>
      <color rgb="FFD9EAD3"/>
      <color rgb="FF253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[OFDI-Tracker_30April2026.xlsx]Region Chart!PivotTable4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'Region Chart'!$B$3:$B$4</c:f>
              <c:strCache>
                <c:ptCount val="1"/>
                <c:pt idx="0">
                  <c:v>Battery Manufacturing</c:v>
                </c:pt>
              </c:strCache>
            </c:strRef>
          </c:tx>
          <c:spPr>
            <a:solidFill>
              <a:schemeClr val="accent1"/>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Chart'!$B$5:$B$13</c:f>
              <c:numCache>
                <c:formatCode>_(* #,##0_);_(* \(#,##0\);_(* "-"??_);_(@_)</c:formatCode>
                <c:ptCount val="8"/>
                <c:pt idx="0">
                  <c:v>11207</c:v>
                </c:pt>
                <c:pt idx="1">
                  <c:v>25479</c:v>
                </c:pt>
                <c:pt idx="2">
                  <c:v>6700</c:v>
                </c:pt>
                <c:pt idx="3">
                  <c:v>280</c:v>
                </c:pt>
                <c:pt idx="5">
                  <c:v>8310</c:v>
                </c:pt>
              </c:numCache>
            </c:numRef>
          </c:val>
          <c:extLst>
            <c:ext xmlns:c16="http://schemas.microsoft.com/office/drawing/2014/chart" uri="{C3380CC4-5D6E-409C-BE32-E72D297353CC}">
              <c16:uniqueId val="{00000000-C3F4-FA4A-8340-9B9841023781}"/>
            </c:ext>
          </c:extLst>
        </c:ser>
        <c:ser>
          <c:idx val="1"/>
          <c:order val="1"/>
          <c:tx>
            <c:strRef>
              <c:f>'Region Chart'!$C$3:$C$4</c:f>
              <c:strCache>
                <c:ptCount val="1"/>
                <c:pt idx="0">
                  <c:v>Battery Materials Manufacturing</c:v>
                </c:pt>
              </c:strCache>
            </c:strRef>
          </c:tx>
          <c:spPr>
            <a:solidFill>
              <a:schemeClr val="accent2"/>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Chart'!$C$5:$C$13</c:f>
              <c:numCache>
                <c:formatCode>_(* #,##0_);_(* \(#,##0\);_(* "-"??_);_(@_)</c:formatCode>
                <c:ptCount val="8"/>
                <c:pt idx="0">
                  <c:v>23997</c:v>
                </c:pt>
                <c:pt idx="1">
                  <c:v>6094</c:v>
                </c:pt>
                <c:pt idx="2">
                  <c:v>4046.6</c:v>
                </c:pt>
                <c:pt idx="3">
                  <c:v>1100</c:v>
                </c:pt>
                <c:pt idx="4">
                  <c:v>1400</c:v>
                </c:pt>
                <c:pt idx="5">
                  <c:v>1284</c:v>
                </c:pt>
              </c:numCache>
            </c:numRef>
          </c:val>
          <c:extLst>
            <c:ext xmlns:c16="http://schemas.microsoft.com/office/drawing/2014/chart" uri="{C3380CC4-5D6E-409C-BE32-E72D297353CC}">
              <c16:uniqueId val="{00000001-C3F4-FA4A-8340-9B9841023781}"/>
            </c:ext>
          </c:extLst>
        </c:ser>
        <c:ser>
          <c:idx val="2"/>
          <c:order val="2"/>
          <c:tx>
            <c:strRef>
              <c:f>'Region Chart'!$D$3:$D$4</c:f>
              <c:strCache>
                <c:ptCount val="1"/>
                <c:pt idx="0">
                  <c:v>Battery Recycling</c:v>
                </c:pt>
              </c:strCache>
            </c:strRef>
          </c:tx>
          <c:spPr>
            <a:solidFill>
              <a:schemeClr val="accent3"/>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Chart'!$D$5:$D$13</c:f>
              <c:numCache>
                <c:formatCode>_(* #,##0_);_(* \(#,##0\);_(* "-"??_);_(@_)</c:formatCode>
                <c:ptCount val="8"/>
                <c:pt idx="0">
                  <c:v>108</c:v>
                </c:pt>
              </c:numCache>
            </c:numRef>
          </c:val>
          <c:extLst>
            <c:ext xmlns:c16="http://schemas.microsoft.com/office/drawing/2014/chart" uri="{C3380CC4-5D6E-409C-BE32-E72D297353CC}">
              <c16:uniqueId val="{00000002-C3F4-FA4A-8340-9B9841023781}"/>
            </c:ext>
          </c:extLst>
        </c:ser>
        <c:ser>
          <c:idx val="3"/>
          <c:order val="3"/>
          <c:tx>
            <c:strRef>
              <c:f>'Region Chart'!$E$3:$E$4</c:f>
              <c:strCache>
                <c:ptCount val="1"/>
                <c:pt idx="0">
                  <c:v>BESS</c:v>
                </c:pt>
              </c:strCache>
            </c:strRef>
          </c:tx>
          <c:spPr>
            <a:solidFill>
              <a:schemeClr val="accent4"/>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Chart'!$E$5:$E$13</c:f>
              <c:numCache>
                <c:formatCode>_(* #,##0_);_(* \(#,##0\);_(* "-"??_);_(@_)</c:formatCode>
                <c:ptCount val="8"/>
                <c:pt idx="1">
                  <c:v>1595</c:v>
                </c:pt>
                <c:pt idx="3">
                  <c:v>3000</c:v>
                </c:pt>
                <c:pt idx="4">
                  <c:v>1700</c:v>
                </c:pt>
                <c:pt idx="5">
                  <c:v>833</c:v>
                </c:pt>
                <c:pt idx="6">
                  <c:v>1050</c:v>
                </c:pt>
                <c:pt idx="7">
                  <c:v>1129</c:v>
                </c:pt>
              </c:numCache>
            </c:numRef>
          </c:val>
          <c:extLst>
            <c:ext xmlns:c16="http://schemas.microsoft.com/office/drawing/2014/chart" uri="{C3380CC4-5D6E-409C-BE32-E72D297353CC}">
              <c16:uniqueId val="{00000003-C3F4-FA4A-8340-9B9841023781}"/>
            </c:ext>
          </c:extLst>
        </c:ser>
        <c:ser>
          <c:idx val="4"/>
          <c:order val="4"/>
          <c:tx>
            <c:strRef>
              <c:f>'Region Chart'!$F$3:$F$4</c:f>
              <c:strCache>
                <c:ptCount val="1"/>
                <c:pt idx="0">
                  <c:v>Green Hydrogen</c:v>
                </c:pt>
              </c:strCache>
            </c:strRef>
          </c:tx>
          <c:spPr>
            <a:solidFill>
              <a:schemeClr val="accent5"/>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Chart'!$F$5:$F$13</c:f>
              <c:numCache>
                <c:formatCode>_(* #,##0_);_(* \(#,##0\);_(* "-"??_);_(@_)</c:formatCode>
                <c:ptCount val="8"/>
                <c:pt idx="2">
                  <c:v>5100</c:v>
                </c:pt>
                <c:pt idx="3">
                  <c:v>0</c:v>
                </c:pt>
                <c:pt idx="4">
                  <c:v>1000</c:v>
                </c:pt>
              </c:numCache>
            </c:numRef>
          </c:val>
          <c:extLst>
            <c:ext xmlns:c16="http://schemas.microsoft.com/office/drawing/2014/chart" uri="{C3380CC4-5D6E-409C-BE32-E72D297353CC}">
              <c16:uniqueId val="{00000004-C3F4-FA4A-8340-9B9841023781}"/>
            </c:ext>
          </c:extLst>
        </c:ser>
        <c:ser>
          <c:idx val="5"/>
          <c:order val="5"/>
          <c:tx>
            <c:strRef>
              <c:f>'Region Chart'!$G$3:$G$4</c:f>
              <c:strCache>
                <c:ptCount val="1"/>
                <c:pt idx="0">
                  <c:v>Grid Transmission</c:v>
                </c:pt>
              </c:strCache>
            </c:strRef>
          </c:tx>
          <c:spPr>
            <a:solidFill>
              <a:schemeClr val="accent6"/>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Chart'!$G$5:$G$13</c:f>
              <c:numCache>
                <c:formatCode>_(* #,##0_);_(* \(#,##0\);_(* "-"??_);_(@_)</c:formatCode>
                <c:ptCount val="8"/>
                <c:pt idx="0">
                  <c:v>1525</c:v>
                </c:pt>
                <c:pt idx="4">
                  <c:v>11900</c:v>
                </c:pt>
              </c:numCache>
            </c:numRef>
          </c:val>
          <c:extLst>
            <c:ext xmlns:c16="http://schemas.microsoft.com/office/drawing/2014/chart" uri="{C3380CC4-5D6E-409C-BE32-E72D297353CC}">
              <c16:uniqueId val="{00000005-C3F4-FA4A-8340-9B9841023781}"/>
            </c:ext>
          </c:extLst>
        </c:ser>
        <c:ser>
          <c:idx val="6"/>
          <c:order val="6"/>
          <c:tx>
            <c:strRef>
              <c:f>'Region Chart'!$H$3:$H$4</c:f>
              <c:strCache>
                <c:ptCount val="1"/>
                <c:pt idx="0">
                  <c:v>Hybrid - Solar &amp; BESS</c:v>
                </c:pt>
              </c:strCache>
            </c:strRef>
          </c:tx>
          <c:spPr>
            <a:solidFill>
              <a:schemeClr val="accent1">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Chart'!$H$5:$H$13</c:f>
              <c:numCache>
                <c:formatCode>_(* #,##0_);_(* \(#,##0\);_(* "-"??_);_(@_)</c:formatCode>
                <c:ptCount val="8"/>
                <c:pt idx="0">
                  <c:v>1000</c:v>
                </c:pt>
                <c:pt idx="3">
                  <c:v>140</c:v>
                </c:pt>
                <c:pt idx="6">
                  <c:v>320</c:v>
                </c:pt>
                <c:pt idx="7">
                  <c:v>1298</c:v>
                </c:pt>
              </c:numCache>
            </c:numRef>
          </c:val>
          <c:extLst>
            <c:ext xmlns:c16="http://schemas.microsoft.com/office/drawing/2014/chart" uri="{C3380CC4-5D6E-409C-BE32-E72D297353CC}">
              <c16:uniqueId val="{00000006-C3F4-FA4A-8340-9B9841023781}"/>
            </c:ext>
          </c:extLst>
        </c:ser>
        <c:ser>
          <c:idx val="7"/>
          <c:order val="7"/>
          <c:tx>
            <c:strRef>
              <c:f>'Region Chart'!$I$3:$I$4</c:f>
              <c:strCache>
                <c:ptCount val="1"/>
                <c:pt idx="0">
                  <c:v>Hybrid - Solar &amp; Wind</c:v>
                </c:pt>
              </c:strCache>
            </c:strRef>
          </c:tx>
          <c:spPr>
            <a:solidFill>
              <a:schemeClr val="accent2">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Chart'!$I$5:$I$13</c:f>
              <c:numCache>
                <c:formatCode>_(* #,##0_);_(* \(#,##0\);_(* "-"??_);_(@_)</c:formatCode>
                <c:ptCount val="8"/>
                <c:pt idx="2">
                  <c:v>1900</c:v>
                </c:pt>
              </c:numCache>
            </c:numRef>
          </c:val>
          <c:extLst>
            <c:ext xmlns:c16="http://schemas.microsoft.com/office/drawing/2014/chart" uri="{C3380CC4-5D6E-409C-BE32-E72D297353CC}">
              <c16:uniqueId val="{00000007-C3F4-FA4A-8340-9B9841023781}"/>
            </c:ext>
          </c:extLst>
        </c:ser>
        <c:ser>
          <c:idx val="8"/>
          <c:order val="8"/>
          <c:tx>
            <c:strRef>
              <c:f>'Region Chart'!$J$3:$J$4</c:f>
              <c:strCache>
                <c:ptCount val="1"/>
                <c:pt idx="0">
                  <c:v>Hybrid - Wind &amp; BESS</c:v>
                </c:pt>
              </c:strCache>
            </c:strRef>
          </c:tx>
          <c:spPr>
            <a:solidFill>
              <a:schemeClr val="accent3">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Chart'!$J$5:$J$13</c:f>
              <c:numCache>
                <c:formatCode>_(* #,##0_);_(* \(#,##0\);_(* "-"??_);_(@_)</c:formatCode>
                <c:ptCount val="8"/>
                <c:pt idx="7">
                  <c:v>2479</c:v>
                </c:pt>
              </c:numCache>
            </c:numRef>
          </c:val>
          <c:extLst>
            <c:ext xmlns:c16="http://schemas.microsoft.com/office/drawing/2014/chart" uri="{C3380CC4-5D6E-409C-BE32-E72D297353CC}">
              <c16:uniqueId val="{00000008-C3F4-FA4A-8340-9B9841023781}"/>
            </c:ext>
          </c:extLst>
        </c:ser>
        <c:ser>
          <c:idx val="9"/>
          <c:order val="9"/>
          <c:tx>
            <c:strRef>
              <c:f>'Region Chart'!$K$3:$K$4</c:f>
              <c:strCache>
                <c:ptCount val="1"/>
                <c:pt idx="0">
                  <c:v>Hydro</c:v>
                </c:pt>
              </c:strCache>
            </c:strRef>
          </c:tx>
          <c:spPr>
            <a:solidFill>
              <a:schemeClr val="accent4">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Chart'!$K$5:$K$13</c:f>
              <c:numCache>
                <c:formatCode>_(* #,##0_);_(* \(#,##0\);_(* "-"??_);_(@_)</c:formatCode>
                <c:ptCount val="8"/>
                <c:pt idx="0">
                  <c:v>3792</c:v>
                </c:pt>
                <c:pt idx="2">
                  <c:v>11100</c:v>
                </c:pt>
                <c:pt idx="4">
                  <c:v>1462</c:v>
                </c:pt>
                <c:pt idx="6">
                  <c:v>1950</c:v>
                </c:pt>
              </c:numCache>
            </c:numRef>
          </c:val>
          <c:extLst>
            <c:ext xmlns:c16="http://schemas.microsoft.com/office/drawing/2014/chart" uri="{C3380CC4-5D6E-409C-BE32-E72D297353CC}">
              <c16:uniqueId val="{0000002A-C3F4-FA4A-8340-9B9841023781}"/>
            </c:ext>
          </c:extLst>
        </c:ser>
        <c:ser>
          <c:idx val="10"/>
          <c:order val="10"/>
          <c:tx>
            <c:strRef>
              <c:f>'Region Chart'!$L$3:$L$4</c:f>
              <c:strCache>
                <c:ptCount val="1"/>
                <c:pt idx="0">
                  <c:v>NEVs</c:v>
                </c:pt>
              </c:strCache>
            </c:strRef>
          </c:tx>
          <c:spPr>
            <a:solidFill>
              <a:schemeClr val="accent5">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Chart'!$L$5:$L$13</c:f>
              <c:numCache>
                <c:formatCode>_(* #,##0_);_(* \(#,##0\);_(* "-"??_);_(@_)</c:formatCode>
                <c:ptCount val="8"/>
                <c:pt idx="0">
                  <c:v>2780</c:v>
                </c:pt>
                <c:pt idx="1">
                  <c:v>7796.54</c:v>
                </c:pt>
                <c:pt idx="3">
                  <c:v>5600</c:v>
                </c:pt>
                <c:pt idx="4">
                  <c:v>3772</c:v>
                </c:pt>
                <c:pt idx="6">
                  <c:v>250</c:v>
                </c:pt>
              </c:numCache>
            </c:numRef>
          </c:val>
          <c:extLst>
            <c:ext xmlns:c16="http://schemas.microsoft.com/office/drawing/2014/chart" uri="{C3380CC4-5D6E-409C-BE32-E72D297353CC}">
              <c16:uniqueId val="{0000002B-C3F4-FA4A-8340-9B9841023781}"/>
            </c:ext>
          </c:extLst>
        </c:ser>
        <c:ser>
          <c:idx val="11"/>
          <c:order val="11"/>
          <c:tx>
            <c:strRef>
              <c:f>'Region Chart'!$M$3:$M$4</c:f>
              <c:strCache>
                <c:ptCount val="1"/>
                <c:pt idx="0">
                  <c:v>Solar Farm</c:v>
                </c:pt>
              </c:strCache>
            </c:strRef>
          </c:tx>
          <c:spPr>
            <a:solidFill>
              <a:schemeClr val="accent6">
                <a:lumMod val="6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Chart'!$M$5:$M$13</c:f>
              <c:numCache>
                <c:formatCode>_(* #,##0_);_(* \(#,##0\);_(* "-"??_);_(@_)</c:formatCode>
                <c:ptCount val="8"/>
                <c:pt idx="0">
                  <c:v>2760</c:v>
                </c:pt>
                <c:pt idx="1">
                  <c:v>1072.26</c:v>
                </c:pt>
                <c:pt idx="2">
                  <c:v>1850</c:v>
                </c:pt>
                <c:pt idx="3">
                  <c:v>8947</c:v>
                </c:pt>
                <c:pt idx="4">
                  <c:v>2352</c:v>
                </c:pt>
                <c:pt idx="6">
                  <c:v>1381</c:v>
                </c:pt>
              </c:numCache>
            </c:numRef>
          </c:val>
          <c:extLst>
            <c:ext xmlns:c16="http://schemas.microsoft.com/office/drawing/2014/chart" uri="{C3380CC4-5D6E-409C-BE32-E72D297353CC}">
              <c16:uniqueId val="{0000002C-C3F4-FA4A-8340-9B9841023781}"/>
            </c:ext>
          </c:extLst>
        </c:ser>
        <c:ser>
          <c:idx val="12"/>
          <c:order val="12"/>
          <c:tx>
            <c:strRef>
              <c:f>'Region Chart'!$N$3:$N$4</c:f>
              <c:strCache>
                <c:ptCount val="1"/>
                <c:pt idx="0">
                  <c:v>Solar Manufacturing</c:v>
                </c:pt>
              </c:strCache>
            </c:strRef>
          </c:tx>
          <c:spPr>
            <a:solidFill>
              <a:schemeClr val="accent1">
                <a:lumMod val="80000"/>
                <a:lumOff val="2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Chart'!$N$5:$N$13</c:f>
              <c:numCache>
                <c:formatCode>_(* #,##0_);_(* \(#,##0\);_(* "-"??_);_(@_)</c:formatCode>
                <c:ptCount val="8"/>
                <c:pt idx="0">
                  <c:v>9170</c:v>
                </c:pt>
                <c:pt idx="1">
                  <c:v>1686.5</c:v>
                </c:pt>
                <c:pt idx="2">
                  <c:v>1900</c:v>
                </c:pt>
                <c:pt idx="3">
                  <c:v>4425</c:v>
                </c:pt>
                <c:pt idx="5">
                  <c:v>2560</c:v>
                </c:pt>
              </c:numCache>
            </c:numRef>
          </c:val>
          <c:extLst>
            <c:ext xmlns:c16="http://schemas.microsoft.com/office/drawing/2014/chart" uri="{C3380CC4-5D6E-409C-BE32-E72D297353CC}">
              <c16:uniqueId val="{0000002D-C3F4-FA4A-8340-9B9841023781}"/>
            </c:ext>
          </c:extLst>
        </c:ser>
        <c:ser>
          <c:idx val="13"/>
          <c:order val="13"/>
          <c:tx>
            <c:strRef>
              <c:f>'Region Chart'!$O$3:$O$4</c:f>
              <c:strCache>
                <c:ptCount val="1"/>
                <c:pt idx="0">
                  <c:v>Waste-to-Energy</c:v>
                </c:pt>
              </c:strCache>
            </c:strRef>
          </c:tx>
          <c:spPr>
            <a:solidFill>
              <a:schemeClr val="accent2">
                <a:lumMod val="80000"/>
                <a:lumOff val="2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Chart'!$O$5:$O$13</c:f>
              <c:numCache>
                <c:formatCode>_(* #,##0_);_(* \(#,##0\);_(* "-"??_);_(@_)</c:formatCode>
                <c:ptCount val="8"/>
                <c:pt idx="0">
                  <c:v>459</c:v>
                </c:pt>
                <c:pt idx="6">
                  <c:v>275</c:v>
                </c:pt>
              </c:numCache>
            </c:numRef>
          </c:val>
          <c:extLst>
            <c:ext xmlns:c16="http://schemas.microsoft.com/office/drawing/2014/chart" uri="{C3380CC4-5D6E-409C-BE32-E72D297353CC}">
              <c16:uniqueId val="{0000002E-C3F4-FA4A-8340-9B9841023781}"/>
            </c:ext>
          </c:extLst>
        </c:ser>
        <c:ser>
          <c:idx val="14"/>
          <c:order val="14"/>
          <c:tx>
            <c:strRef>
              <c:f>'Region Chart'!$P$3:$P$4</c:f>
              <c:strCache>
                <c:ptCount val="1"/>
                <c:pt idx="0">
                  <c:v>Wind Farm</c:v>
                </c:pt>
              </c:strCache>
            </c:strRef>
          </c:tx>
          <c:spPr>
            <a:solidFill>
              <a:schemeClr val="accent3">
                <a:lumMod val="80000"/>
                <a:lumOff val="2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Chart'!$P$5:$P$13</c:f>
              <c:numCache>
                <c:formatCode>_(* #,##0_);_(* \(#,##0\);_(* "-"??_);_(@_)</c:formatCode>
                <c:ptCount val="8"/>
                <c:pt idx="0">
                  <c:v>2247.5</c:v>
                </c:pt>
                <c:pt idx="1">
                  <c:v>7710</c:v>
                </c:pt>
                <c:pt idx="2">
                  <c:v>1709</c:v>
                </c:pt>
                <c:pt idx="3">
                  <c:v>206</c:v>
                </c:pt>
                <c:pt idx="4">
                  <c:v>1035</c:v>
                </c:pt>
                <c:pt idx="6">
                  <c:v>3100</c:v>
                </c:pt>
                <c:pt idx="7">
                  <c:v>650</c:v>
                </c:pt>
              </c:numCache>
            </c:numRef>
          </c:val>
          <c:extLst>
            <c:ext xmlns:c16="http://schemas.microsoft.com/office/drawing/2014/chart" uri="{C3380CC4-5D6E-409C-BE32-E72D297353CC}">
              <c16:uniqueId val="{0000002F-C3F4-FA4A-8340-9B9841023781}"/>
            </c:ext>
          </c:extLst>
        </c:ser>
        <c:ser>
          <c:idx val="15"/>
          <c:order val="15"/>
          <c:tx>
            <c:strRef>
              <c:f>'Region Chart'!$Q$3:$Q$4</c:f>
              <c:strCache>
                <c:ptCount val="1"/>
                <c:pt idx="0">
                  <c:v>Wind Manufacturing</c:v>
                </c:pt>
              </c:strCache>
            </c:strRef>
          </c:tx>
          <c:spPr>
            <a:solidFill>
              <a:schemeClr val="accent4">
                <a:lumMod val="80000"/>
                <a:lumOff val="20000"/>
              </a:schemeClr>
            </a:solidFill>
            <a:ln>
              <a:noFill/>
            </a:ln>
            <a:effectLst/>
          </c:spPr>
          <c:invertIfNegative val="0"/>
          <c:cat>
            <c:strRef>
              <c:f>'Region Chart'!$A$5:$A$13</c:f>
              <c:strCache>
                <c:ptCount val="8"/>
                <c:pt idx="0">
                  <c:v>South &amp; East Asia </c:v>
                </c:pt>
                <c:pt idx="1">
                  <c:v>Europe</c:v>
                </c:pt>
                <c:pt idx="2">
                  <c:v>Africa</c:v>
                </c:pt>
                <c:pt idx="3">
                  <c:v>Middle East</c:v>
                </c:pt>
                <c:pt idx="4">
                  <c:v>Central &amp; South America</c:v>
                </c:pt>
                <c:pt idx="5">
                  <c:v>North America</c:v>
                </c:pt>
                <c:pt idx="6">
                  <c:v>Central Asia</c:v>
                </c:pt>
                <c:pt idx="7">
                  <c:v>Australasia</c:v>
                </c:pt>
              </c:strCache>
            </c:strRef>
          </c:cat>
          <c:val>
            <c:numRef>
              <c:f>'Region Chart'!$Q$5:$Q$13</c:f>
              <c:numCache>
                <c:formatCode>_(* #,##0_);_(* \(#,##0\);_(* "-"??_);_(@_)</c:formatCode>
                <c:ptCount val="8"/>
                <c:pt idx="0">
                  <c:v>164.38413361169103</c:v>
                </c:pt>
                <c:pt idx="1">
                  <c:v>2055</c:v>
                </c:pt>
                <c:pt idx="3">
                  <c:v>1000</c:v>
                </c:pt>
                <c:pt idx="4">
                  <c:v>18</c:v>
                </c:pt>
                <c:pt idx="6">
                  <c:v>204</c:v>
                </c:pt>
              </c:numCache>
            </c:numRef>
          </c:val>
          <c:extLst>
            <c:ext xmlns:c16="http://schemas.microsoft.com/office/drawing/2014/chart" uri="{C3380CC4-5D6E-409C-BE32-E72D297353CC}">
              <c16:uniqueId val="{00000030-C3F4-FA4A-8340-9B9841023781}"/>
            </c:ext>
          </c:extLst>
        </c:ser>
        <c:dLbls>
          <c:showLegendKey val="0"/>
          <c:showVal val="0"/>
          <c:showCatName val="0"/>
          <c:showSerName val="0"/>
          <c:showPercent val="0"/>
          <c:showBubbleSize val="0"/>
        </c:dLbls>
        <c:gapWidth val="150"/>
        <c:overlap val="100"/>
        <c:axId val="371802112"/>
        <c:axId val="371815552"/>
      </c:barChart>
      <c:catAx>
        <c:axId val="3718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71815552"/>
        <c:crosses val="autoZero"/>
        <c:auto val="1"/>
        <c:lblAlgn val="ctr"/>
        <c:lblOffset val="100"/>
        <c:noMultiLvlLbl val="0"/>
      </c:catAx>
      <c:valAx>
        <c:axId val="371815552"/>
        <c:scaling>
          <c:orientation val="minMax"/>
        </c:scaling>
        <c:delete val="0"/>
        <c:axPos val="l"/>
        <c:majorGridlines>
          <c:spPr>
            <a:ln w="9525" cap="flat" cmpd="sng" algn="ctr">
              <a:solidFill>
                <a:schemeClr val="tx1">
                  <a:lumMod val="15000"/>
                  <a:lumOff val="85000"/>
                </a:schemeClr>
              </a:solidFill>
              <a:round/>
            </a:ln>
            <a:effectLst/>
          </c:spPr>
        </c:majorGridlines>
        <c:numFmt formatCode="&quot;US$&quot;#,##0&quot;bn&quot;"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71802112"/>
        <c:crosses val="autoZero"/>
        <c:crossBetween val="between"/>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[OFDI-Tracker_30April2026.xlsx]Tech Chart!PivotTable4</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'Tech Chart'!$B$3:$B$4</c:f>
              <c:strCache>
                <c:ptCount val="1"/>
                <c:pt idx="0">
                  <c:v>Central &amp; South America</c:v>
                </c:pt>
              </c:strCache>
            </c:strRef>
          </c:tx>
          <c:spPr>
            <a:solidFill>
              <a:schemeClr val="accent1"/>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Chart'!$B$5:$B$21</c:f>
              <c:numCache>
                <c:formatCode>_(* #,##0_);_(* \(#,##0\);_(* "-"??_);_(@_)</c:formatCode>
                <c:ptCount val="16"/>
                <c:pt idx="1">
                  <c:v>1400</c:v>
                </c:pt>
                <c:pt idx="2">
                  <c:v>3772</c:v>
                </c:pt>
                <c:pt idx="4">
                  <c:v>2352</c:v>
                </c:pt>
                <c:pt idx="5">
                  <c:v>1462</c:v>
                </c:pt>
                <c:pt idx="6">
                  <c:v>1035</c:v>
                </c:pt>
                <c:pt idx="7">
                  <c:v>11900</c:v>
                </c:pt>
                <c:pt idx="8">
                  <c:v>1700</c:v>
                </c:pt>
                <c:pt idx="9">
                  <c:v>1000</c:v>
                </c:pt>
                <c:pt idx="10">
                  <c:v>18</c:v>
                </c:pt>
              </c:numCache>
            </c:numRef>
          </c:val>
          <c:extLst>
            <c:ext xmlns:c16="http://schemas.microsoft.com/office/drawing/2014/chart" uri="{C3380CC4-5D6E-409C-BE32-E72D297353CC}">
              <c16:uniqueId val="{00000011-C6D9-B045-BB95-961EDB2BFF40}"/>
            </c:ext>
          </c:extLst>
        </c:ser>
        <c:ser>
          <c:idx val="1"/>
          <c:order val="1"/>
          <c:tx>
            <c:strRef>
              <c:f>'Tech Chart'!$C$3:$C$4</c:f>
              <c:strCache>
                <c:ptCount val="1"/>
                <c:pt idx="0">
                  <c:v>Central Asia</c:v>
                </c:pt>
              </c:strCache>
            </c:strRef>
          </c:tx>
          <c:spPr>
            <a:solidFill>
              <a:schemeClr val="accent2"/>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Chart'!$C$5:$C$21</c:f>
              <c:numCache>
                <c:formatCode>_(* #,##0_);_(* \(#,##0\);_(* "-"??_);_(@_)</c:formatCode>
                <c:ptCount val="16"/>
                <c:pt idx="2">
                  <c:v>250</c:v>
                </c:pt>
                <c:pt idx="4">
                  <c:v>1381</c:v>
                </c:pt>
                <c:pt idx="5">
                  <c:v>1950</c:v>
                </c:pt>
                <c:pt idx="6">
                  <c:v>3100</c:v>
                </c:pt>
                <c:pt idx="8">
                  <c:v>1050</c:v>
                </c:pt>
                <c:pt idx="10">
                  <c:v>204</c:v>
                </c:pt>
                <c:pt idx="11">
                  <c:v>320</c:v>
                </c:pt>
                <c:pt idx="14">
                  <c:v>275</c:v>
                </c:pt>
              </c:numCache>
            </c:numRef>
          </c:val>
          <c:extLst>
            <c:ext xmlns:c16="http://schemas.microsoft.com/office/drawing/2014/chart" uri="{C3380CC4-5D6E-409C-BE32-E72D297353CC}">
              <c16:uniqueId val="{00000012-C6D9-B045-BB95-961EDB2BFF40}"/>
            </c:ext>
          </c:extLst>
        </c:ser>
        <c:ser>
          <c:idx val="2"/>
          <c:order val="2"/>
          <c:tx>
            <c:strRef>
              <c:f>'Tech Chart'!$D$3:$D$4</c:f>
              <c:strCache>
                <c:ptCount val="1"/>
                <c:pt idx="0">
                  <c:v>Europe</c:v>
                </c:pt>
              </c:strCache>
            </c:strRef>
          </c:tx>
          <c:spPr>
            <a:solidFill>
              <a:schemeClr val="accent3"/>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Chart'!$D$5:$D$21</c:f>
              <c:numCache>
                <c:formatCode>_(* #,##0_);_(* \(#,##0\);_(* "-"??_);_(@_)</c:formatCode>
                <c:ptCount val="16"/>
                <c:pt idx="0">
                  <c:v>25479</c:v>
                </c:pt>
                <c:pt idx="1">
                  <c:v>6094</c:v>
                </c:pt>
                <c:pt idx="2">
                  <c:v>7796.54</c:v>
                </c:pt>
                <c:pt idx="3">
                  <c:v>1686.5</c:v>
                </c:pt>
                <c:pt idx="4">
                  <c:v>1072.26</c:v>
                </c:pt>
                <c:pt idx="6">
                  <c:v>7710</c:v>
                </c:pt>
                <c:pt idx="8">
                  <c:v>1595</c:v>
                </c:pt>
                <c:pt idx="10">
                  <c:v>2055</c:v>
                </c:pt>
              </c:numCache>
            </c:numRef>
          </c:val>
          <c:extLst>
            <c:ext xmlns:c16="http://schemas.microsoft.com/office/drawing/2014/chart" uri="{C3380CC4-5D6E-409C-BE32-E72D297353CC}">
              <c16:uniqueId val="{00000013-C6D9-B045-BB95-961EDB2BFF40}"/>
            </c:ext>
          </c:extLst>
        </c:ser>
        <c:ser>
          <c:idx val="3"/>
          <c:order val="3"/>
          <c:tx>
            <c:strRef>
              <c:f>'Tech Chart'!$E$3:$E$4</c:f>
              <c:strCache>
                <c:ptCount val="1"/>
                <c:pt idx="0">
                  <c:v>Middle East</c:v>
                </c:pt>
              </c:strCache>
            </c:strRef>
          </c:tx>
          <c:spPr>
            <a:solidFill>
              <a:schemeClr val="accent4"/>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Chart'!$E$5:$E$21</c:f>
              <c:numCache>
                <c:formatCode>_(* #,##0_);_(* \(#,##0\);_(* "-"??_);_(@_)</c:formatCode>
                <c:ptCount val="16"/>
                <c:pt idx="0">
                  <c:v>280</c:v>
                </c:pt>
                <c:pt idx="1">
                  <c:v>1100</c:v>
                </c:pt>
                <c:pt idx="2">
                  <c:v>5600</c:v>
                </c:pt>
                <c:pt idx="3">
                  <c:v>4425</c:v>
                </c:pt>
                <c:pt idx="4">
                  <c:v>8947</c:v>
                </c:pt>
                <c:pt idx="6">
                  <c:v>206</c:v>
                </c:pt>
                <c:pt idx="8">
                  <c:v>3000</c:v>
                </c:pt>
                <c:pt idx="9">
                  <c:v>0</c:v>
                </c:pt>
                <c:pt idx="10">
                  <c:v>1000</c:v>
                </c:pt>
                <c:pt idx="11">
                  <c:v>140</c:v>
                </c:pt>
              </c:numCache>
            </c:numRef>
          </c:val>
          <c:extLst>
            <c:ext xmlns:c16="http://schemas.microsoft.com/office/drawing/2014/chart" uri="{C3380CC4-5D6E-409C-BE32-E72D297353CC}">
              <c16:uniqueId val="{00000014-C6D9-B045-BB95-961EDB2BFF40}"/>
            </c:ext>
          </c:extLst>
        </c:ser>
        <c:ser>
          <c:idx val="4"/>
          <c:order val="4"/>
          <c:tx>
            <c:strRef>
              <c:f>'Tech Chart'!$F$3:$F$4</c:f>
              <c:strCache>
                <c:ptCount val="1"/>
                <c:pt idx="0">
                  <c:v>North America</c:v>
                </c:pt>
              </c:strCache>
            </c:strRef>
          </c:tx>
          <c:spPr>
            <a:solidFill>
              <a:schemeClr val="accent5"/>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Chart'!$F$5:$F$21</c:f>
              <c:numCache>
                <c:formatCode>_(* #,##0_);_(* \(#,##0\);_(* "-"??_);_(@_)</c:formatCode>
                <c:ptCount val="16"/>
                <c:pt idx="0">
                  <c:v>8310</c:v>
                </c:pt>
                <c:pt idx="1">
                  <c:v>1284</c:v>
                </c:pt>
                <c:pt idx="3">
                  <c:v>2560</c:v>
                </c:pt>
                <c:pt idx="8">
                  <c:v>833</c:v>
                </c:pt>
              </c:numCache>
            </c:numRef>
          </c:val>
          <c:extLst>
            <c:ext xmlns:c16="http://schemas.microsoft.com/office/drawing/2014/chart" uri="{C3380CC4-5D6E-409C-BE32-E72D297353CC}">
              <c16:uniqueId val="{00000015-C6D9-B045-BB95-961EDB2BFF40}"/>
            </c:ext>
          </c:extLst>
        </c:ser>
        <c:ser>
          <c:idx val="5"/>
          <c:order val="5"/>
          <c:tx>
            <c:strRef>
              <c:f>'Tech Chart'!$G$3:$G$4</c:f>
              <c:strCache>
                <c:ptCount val="1"/>
                <c:pt idx="0">
                  <c:v>South &amp; East Asia </c:v>
                </c:pt>
              </c:strCache>
            </c:strRef>
          </c:tx>
          <c:spPr>
            <a:solidFill>
              <a:schemeClr val="accent6"/>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Chart'!$G$5:$G$21</c:f>
              <c:numCache>
                <c:formatCode>_(* #,##0_);_(* \(#,##0\);_(* "-"??_);_(@_)</c:formatCode>
                <c:ptCount val="16"/>
                <c:pt idx="0">
                  <c:v>11207</c:v>
                </c:pt>
                <c:pt idx="1">
                  <c:v>23997</c:v>
                </c:pt>
                <c:pt idx="2">
                  <c:v>2780</c:v>
                </c:pt>
                <c:pt idx="3">
                  <c:v>9170</c:v>
                </c:pt>
                <c:pt idx="4">
                  <c:v>2760</c:v>
                </c:pt>
                <c:pt idx="5">
                  <c:v>3792</c:v>
                </c:pt>
                <c:pt idx="6">
                  <c:v>2247.5</c:v>
                </c:pt>
                <c:pt idx="7">
                  <c:v>1525</c:v>
                </c:pt>
                <c:pt idx="10">
                  <c:v>164.38413361169103</c:v>
                </c:pt>
                <c:pt idx="11">
                  <c:v>1000</c:v>
                </c:pt>
                <c:pt idx="14">
                  <c:v>459</c:v>
                </c:pt>
                <c:pt idx="15">
                  <c:v>108</c:v>
                </c:pt>
              </c:numCache>
            </c:numRef>
          </c:val>
          <c:extLst>
            <c:ext xmlns:c16="http://schemas.microsoft.com/office/drawing/2014/chart" uri="{C3380CC4-5D6E-409C-BE32-E72D297353CC}">
              <c16:uniqueId val="{00000016-C6D9-B045-BB95-961EDB2BFF40}"/>
            </c:ext>
          </c:extLst>
        </c:ser>
        <c:ser>
          <c:idx val="6"/>
          <c:order val="6"/>
          <c:tx>
            <c:strRef>
              <c:f>'Tech Chart'!$H$3:$H$4</c:f>
              <c:strCache>
                <c:ptCount val="1"/>
                <c:pt idx="0">
                  <c:v>Australasia</c:v>
                </c:pt>
              </c:strCache>
            </c:strRef>
          </c:tx>
          <c:spPr>
            <a:solidFill>
              <a:schemeClr val="accent1">
                <a:lumMod val="60000"/>
              </a:schemeClr>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Chart'!$H$5:$H$21</c:f>
              <c:numCache>
                <c:formatCode>_(* #,##0_);_(* \(#,##0\);_(* "-"??_);_(@_)</c:formatCode>
                <c:ptCount val="16"/>
                <c:pt idx="6">
                  <c:v>650</c:v>
                </c:pt>
                <c:pt idx="8">
                  <c:v>1129</c:v>
                </c:pt>
                <c:pt idx="11">
                  <c:v>1298</c:v>
                </c:pt>
                <c:pt idx="12">
                  <c:v>2479</c:v>
                </c:pt>
              </c:numCache>
            </c:numRef>
          </c:val>
          <c:extLst>
            <c:ext xmlns:c16="http://schemas.microsoft.com/office/drawing/2014/chart" uri="{C3380CC4-5D6E-409C-BE32-E72D297353CC}">
              <c16:uniqueId val="{00000017-C6D9-B045-BB95-961EDB2BFF40}"/>
            </c:ext>
          </c:extLst>
        </c:ser>
        <c:ser>
          <c:idx val="7"/>
          <c:order val="7"/>
          <c:tx>
            <c:strRef>
              <c:f>'Tech Chart'!$I$3:$I$4</c:f>
              <c:strCache>
                <c:ptCount val="1"/>
                <c:pt idx="0">
                  <c:v>Africa</c:v>
                </c:pt>
              </c:strCache>
            </c:strRef>
          </c:tx>
          <c:spPr>
            <a:solidFill>
              <a:schemeClr val="accent2">
                <a:lumMod val="60000"/>
              </a:schemeClr>
            </a:solidFill>
            <a:ln>
              <a:noFill/>
            </a:ln>
            <a:effectLst/>
          </c:spPr>
          <c:invertIfNegative val="0"/>
          <c:cat>
            <c:strRef>
              <c:f>'Tech Chart'!$A$5:$A$21</c:f>
              <c:strCache>
                <c:ptCount val="16"/>
                <c:pt idx="0">
                  <c:v>Battery Manufacturing</c:v>
                </c:pt>
                <c:pt idx="1">
                  <c:v>Battery Materials Manufacturing</c:v>
                </c:pt>
                <c:pt idx="2">
                  <c:v>NEVs</c:v>
                </c:pt>
                <c:pt idx="3">
                  <c:v>Solar Manufacturing</c:v>
                </c:pt>
                <c:pt idx="4">
                  <c:v>Solar Farm</c:v>
                </c:pt>
                <c:pt idx="5">
                  <c:v>Hydro</c:v>
                </c:pt>
                <c:pt idx="6">
                  <c:v>Wind Farm</c:v>
                </c:pt>
                <c:pt idx="7">
                  <c:v>Grid Transmission</c:v>
                </c:pt>
                <c:pt idx="8">
                  <c:v>BESS</c:v>
                </c:pt>
                <c:pt idx="9">
                  <c:v>Green Hydrogen</c:v>
                </c:pt>
                <c:pt idx="10">
                  <c:v>Wind Manufacturing</c:v>
                </c:pt>
                <c:pt idx="11">
                  <c:v>Hybrid - Solar &amp; BESS</c:v>
                </c:pt>
                <c:pt idx="12">
                  <c:v>Hybrid - Wind &amp; BESS</c:v>
                </c:pt>
                <c:pt idx="13">
                  <c:v>Hybrid - Solar &amp; Wind</c:v>
                </c:pt>
                <c:pt idx="14">
                  <c:v>Waste-to-Energy</c:v>
                </c:pt>
                <c:pt idx="15">
                  <c:v>Battery Recycling</c:v>
                </c:pt>
              </c:strCache>
            </c:strRef>
          </c:cat>
          <c:val>
            <c:numRef>
              <c:f>'Tech Chart'!$I$5:$I$21</c:f>
              <c:numCache>
                <c:formatCode>_(* #,##0_);_(* \(#,##0\);_(* "-"??_);_(@_)</c:formatCode>
                <c:ptCount val="16"/>
                <c:pt idx="0">
                  <c:v>6700</c:v>
                </c:pt>
                <c:pt idx="1">
                  <c:v>4046.6</c:v>
                </c:pt>
                <c:pt idx="3">
                  <c:v>1900</c:v>
                </c:pt>
                <c:pt idx="4">
                  <c:v>1850</c:v>
                </c:pt>
                <c:pt idx="5">
                  <c:v>11100</c:v>
                </c:pt>
                <c:pt idx="6">
                  <c:v>1709</c:v>
                </c:pt>
                <c:pt idx="9">
                  <c:v>5100</c:v>
                </c:pt>
                <c:pt idx="13">
                  <c:v>1900</c:v>
                </c:pt>
              </c:numCache>
            </c:numRef>
          </c:val>
          <c:extLst>
            <c:ext xmlns:c16="http://schemas.microsoft.com/office/drawing/2014/chart" uri="{C3380CC4-5D6E-409C-BE32-E72D297353CC}">
              <c16:uniqueId val="{00000002-C6F4-D141-91C9-18BCA2CC9E82}"/>
            </c:ext>
          </c:extLst>
        </c:ser>
        <c:dLbls>
          <c:showLegendKey val="0"/>
          <c:showVal val="0"/>
          <c:showCatName val="0"/>
          <c:showSerName val="0"/>
          <c:showPercent val="0"/>
          <c:showBubbleSize val="0"/>
        </c:dLbls>
        <c:gapWidth val="150"/>
        <c:overlap val="100"/>
        <c:axId val="371802112"/>
        <c:axId val="371815552"/>
      </c:barChart>
      <c:catAx>
        <c:axId val="3718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71815552"/>
        <c:crosses val="autoZero"/>
        <c:auto val="1"/>
        <c:lblAlgn val="ctr"/>
        <c:lblOffset val="100"/>
        <c:noMultiLvlLbl val="0"/>
      </c:catAx>
      <c:valAx>
        <c:axId val="371815552"/>
        <c:scaling>
          <c:orientation val="minMax"/>
        </c:scaling>
        <c:delete val="0"/>
        <c:axPos val="l"/>
        <c:majorGridlines>
          <c:spPr>
            <a:ln w="9525" cap="flat" cmpd="sng" algn="ctr">
              <a:solidFill>
                <a:schemeClr val="tx1">
                  <a:lumMod val="15000"/>
                  <a:lumOff val="85000"/>
                </a:schemeClr>
              </a:solidFill>
              <a:round/>
            </a:ln>
            <a:effectLst/>
          </c:spPr>
        </c:majorGridlines>
        <c:numFmt formatCode="&quot;US$&quot;#,##0&quot;bn&quot;"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71802112"/>
        <c:crosses val="autoZero"/>
        <c:crossBetween val="between"/>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[OFDI-Tracker_30April2026.xlsx]Batteries!PivotTable4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Batteries!$B$3:$B$4</c:f>
              <c:strCache>
                <c:ptCount val="1"/>
                <c:pt idx="0">
                  <c:v>Battery Manufacturing</c:v>
                </c:pt>
              </c:strCache>
            </c:strRef>
          </c:tx>
          <c:spPr>
            <a:solidFill>
              <a:schemeClr val="accent1"/>
            </a:solidFill>
            <a:ln>
              <a:noFill/>
            </a:ln>
            <a:effectLst/>
          </c:spPr>
          <c:invertIfNegative val="0"/>
          <c:cat>
            <c:strRef>
              <c:f>Batteries!$A$5:$A$11</c:f>
              <c:strCache>
                <c:ptCount val="6"/>
                <c:pt idx="0">
                  <c:v>South &amp; East Asia </c:v>
                </c:pt>
                <c:pt idx="1">
                  <c:v>Europe</c:v>
                </c:pt>
                <c:pt idx="2">
                  <c:v>Africa</c:v>
                </c:pt>
                <c:pt idx="3">
                  <c:v>North America</c:v>
                </c:pt>
                <c:pt idx="4">
                  <c:v>Central &amp; South America</c:v>
                </c:pt>
                <c:pt idx="5">
                  <c:v>Middle East</c:v>
                </c:pt>
              </c:strCache>
            </c:strRef>
          </c:cat>
          <c:val>
            <c:numRef>
              <c:f>Batteries!$B$5:$B$11</c:f>
              <c:numCache>
                <c:formatCode>_(* #,##0_);_(* \(#,##0\);_(* "-"??_);_(@_)</c:formatCode>
                <c:ptCount val="6"/>
                <c:pt idx="0">
                  <c:v>11207</c:v>
                </c:pt>
                <c:pt idx="1">
                  <c:v>25479</c:v>
                </c:pt>
                <c:pt idx="2">
                  <c:v>6700</c:v>
                </c:pt>
                <c:pt idx="3">
                  <c:v>8310</c:v>
                </c:pt>
                <c:pt idx="5">
                  <c:v>280</c:v>
                </c:pt>
              </c:numCache>
            </c:numRef>
          </c:val>
          <c:extLst>
            <c:ext xmlns:c16="http://schemas.microsoft.com/office/drawing/2014/chart" uri="{C3380CC4-5D6E-409C-BE32-E72D297353CC}">
              <c16:uniqueId val="{00000000-FD43-0545-8E8A-45F7E7BF22EF}"/>
            </c:ext>
          </c:extLst>
        </c:ser>
        <c:ser>
          <c:idx val="1"/>
          <c:order val="1"/>
          <c:tx>
            <c:strRef>
              <c:f>Batteries!$C$3:$C$4</c:f>
              <c:strCache>
                <c:ptCount val="1"/>
                <c:pt idx="0">
                  <c:v>Battery Materials Manufacturing</c:v>
                </c:pt>
              </c:strCache>
            </c:strRef>
          </c:tx>
          <c:spPr>
            <a:solidFill>
              <a:schemeClr val="accent2"/>
            </a:solidFill>
            <a:ln>
              <a:noFill/>
            </a:ln>
            <a:effectLst/>
          </c:spPr>
          <c:invertIfNegative val="0"/>
          <c:cat>
            <c:strRef>
              <c:f>Batteries!$A$5:$A$11</c:f>
              <c:strCache>
                <c:ptCount val="6"/>
                <c:pt idx="0">
                  <c:v>South &amp; East Asia </c:v>
                </c:pt>
                <c:pt idx="1">
                  <c:v>Europe</c:v>
                </c:pt>
                <c:pt idx="2">
                  <c:v>Africa</c:v>
                </c:pt>
                <c:pt idx="3">
                  <c:v>North America</c:v>
                </c:pt>
                <c:pt idx="4">
                  <c:v>Central &amp; South America</c:v>
                </c:pt>
                <c:pt idx="5">
                  <c:v>Middle East</c:v>
                </c:pt>
              </c:strCache>
            </c:strRef>
          </c:cat>
          <c:val>
            <c:numRef>
              <c:f>Batteries!$C$5:$C$11</c:f>
              <c:numCache>
                <c:formatCode>_(* #,##0_);_(* \(#,##0\);_(* "-"??_);_(@_)</c:formatCode>
                <c:ptCount val="6"/>
                <c:pt idx="0">
                  <c:v>23997</c:v>
                </c:pt>
                <c:pt idx="1">
                  <c:v>6094</c:v>
                </c:pt>
                <c:pt idx="2">
                  <c:v>4046.6</c:v>
                </c:pt>
                <c:pt idx="3">
                  <c:v>1284</c:v>
                </c:pt>
                <c:pt idx="4">
                  <c:v>1400</c:v>
                </c:pt>
                <c:pt idx="5">
                  <c:v>1100</c:v>
                </c:pt>
              </c:numCache>
            </c:numRef>
          </c:val>
          <c:extLst>
            <c:ext xmlns:c16="http://schemas.microsoft.com/office/drawing/2014/chart" uri="{C3380CC4-5D6E-409C-BE32-E72D297353CC}">
              <c16:uniqueId val="{00000001-FD43-0545-8E8A-45F7E7BF22EF}"/>
            </c:ext>
          </c:extLst>
        </c:ser>
        <c:dLbls>
          <c:showLegendKey val="0"/>
          <c:showVal val="0"/>
          <c:showCatName val="0"/>
          <c:showSerName val="0"/>
          <c:showPercent val="0"/>
          <c:showBubbleSize val="0"/>
        </c:dLbls>
        <c:gapWidth val="150"/>
        <c:overlap val="100"/>
        <c:axId val="1172181824"/>
        <c:axId val="1172184064"/>
      </c:barChart>
      <c:catAx>
        <c:axId val="117218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72184064"/>
        <c:crosses val="autoZero"/>
        <c:auto val="1"/>
        <c:lblAlgn val="ctr"/>
        <c:lblOffset val="100"/>
        <c:noMultiLvlLbl val="0"/>
      </c:catAx>
      <c:valAx>
        <c:axId val="1172184064"/>
        <c:scaling>
          <c:orientation val="minMax"/>
        </c:scaling>
        <c:delete val="0"/>
        <c:axPos val="l"/>
        <c:majorGridlines>
          <c:spPr>
            <a:ln w="9525" cap="flat" cmpd="sng" algn="ctr">
              <a:solidFill>
                <a:schemeClr val="tx1">
                  <a:lumMod val="15000"/>
                  <a:lumOff val="85000"/>
                </a:schemeClr>
              </a:solidFill>
              <a:round/>
            </a:ln>
            <a:effectLst/>
          </c:spPr>
        </c:majorGridlines>
        <c:numFmt formatCode="&quot;US$&quot;#,##0&quot;bn&quot;"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7218182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[OFDI-Tracker_30April2026.xlsx]Resource Region Chart!PivotTable5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'Resource Region Chart'!$B$3:$B$4</c:f>
              <c:strCache>
                <c:ptCount val="1"/>
                <c:pt idx="0">
                  <c:v>Copper</c:v>
                </c:pt>
              </c:strCache>
            </c:strRef>
          </c:tx>
          <c:spPr>
            <a:solidFill>
              <a:schemeClr val="accent1"/>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Chart'!$B$5:$B$12</c:f>
              <c:numCache>
                <c:formatCode>_(* #,##0_);_(* \(#,##0\);_(* "-"??_);_(@_)</c:formatCode>
                <c:ptCount val="7"/>
                <c:pt idx="1">
                  <c:v>6650</c:v>
                </c:pt>
                <c:pt idx="3">
                  <c:v>1770</c:v>
                </c:pt>
                <c:pt idx="4">
                  <c:v>5700</c:v>
                </c:pt>
                <c:pt idx="5">
                  <c:v>3800</c:v>
                </c:pt>
              </c:numCache>
            </c:numRef>
          </c:val>
          <c:extLst>
            <c:ext xmlns:c16="http://schemas.microsoft.com/office/drawing/2014/chart" uri="{C3380CC4-5D6E-409C-BE32-E72D297353CC}">
              <c16:uniqueId val="{00000000-3A0F-9345-926E-5084A56020A0}"/>
            </c:ext>
          </c:extLst>
        </c:ser>
        <c:ser>
          <c:idx val="1"/>
          <c:order val="1"/>
          <c:tx>
            <c:strRef>
              <c:f>'Resource Region Chart'!$C$3:$C$4</c:f>
              <c:strCache>
                <c:ptCount val="1"/>
                <c:pt idx="0">
                  <c:v>Iron Metal</c:v>
                </c:pt>
              </c:strCache>
            </c:strRef>
          </c:tx>
          <c:spPr>
            <a:solidFill>
              <a:schemeClr val="accent2"/>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Chart'!$C$5:$C$12</c:f>
              <c:numCache>
                <c:formatCode>_(* #,##0_);_(* \(#,##0\);_(* "-"??_);_(@_)</c:formatCode>
                <c:ptCount val="7"/>
                <c:pt idx="1">
                  <c:v>2300</c:v>
                </c:pt>
                <c:pt idx="2">
                  <c:v>14000</c:v>
                </c:pt>
                <c:pt idx="4">
                  <c:v>1200</c:v>
                </c:pt>
              </c:numCache>
            </c:numRef>
          </c:val>
          <c:extLst>
            <c:ext xmlns:c16="http://schemas.microsoft.com/office/drawing/2014/chart" uri="{C3380CC4-5D6E-409C-BE32-E72D297353CC}">
              <c16:uniqueId val="{00000016-3A0F-9345-926E-5084A56020A0}"/>
            </c:ext>
          </c:extLst>
        </c:ser>
        <c:ser>
          <c:idx val="2"/>
          <c:order val="2"/>
          <c:tx>
            <c:strRef>
              <c:f>'Resource Region Chart'!$D$3:$D$4</c:f>
              <c:strCache>
                <c:ptCount val="1"/>
                <c:pt idx="0">
                  <c:v>Iron Ore</c:v>
                </c:pt>
              </c:strCache>
            </c:strRef>
          </c:tx>
          <c:spPr>
            <a:solidFill>
              <a:schemeClr val="accent3"/>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Chart'!$D$5:$D$12</c:f>
              <c:numCache>
                <c:formatCode>_(* #,##0_);_(* \(#,##0\);_(* "-"??_);_(@_)</c:formatCode>
                <c:ptCount val="7"/>
                <c:pt idx="1">
                  <c:v>23430</c:v>
                </c:pt>
                <c:pt idx="2">
                  <c:v>627</c:v>
                </c:pt>
                <c:pt idx="3">
                  <c:v>1800</c:v>
                </c:pt>
              </c:numCache>
            </c:numRef>
          </c:val>
          <c:extLst>
            <c:ext xmlns:c16="http://schemas.microsoft.com/office/drawing/2014/chart" uri="{C3380CC4-5D6E-409C-BE32-E72D297353CC}">
              <c16:uniqueId val="{0000001B-3A0F-9345-926E-5084A56020A0}"/>
            </c:ext>
          </c:extLst>
        </c:ser>
        <c:ser>
          <c:idx val="3"/>
          <c:order val="3"/>
          <c:tx>
            <c:strRef>
              <c:f>'Resource Region Chart'!$E$3:$E$4</c:f>
              <c:strCache>
                <c:ptCount val="1"/>
                <c:pt idx="0">
                  <c:v>Lithium</c:v>
                </c:pt>
              </c:strCache>
            </c:strRef>
          </c:tx>
          <c:spPr>
            <a:solidFill>
              <a:schemeClr val="accent4"/>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Chart'!$E$5:$E$12</c:f>
              <c:numCache>
                <c:formatCode>_(* #,##0_);_(* \(#,##0\);_(* "-"??_);_(@_)</c:formatCode>
                <c:ptCount val="7"/>
                <c:pt idx="1">
                  <c:v>5897</c:v>
                </c:pt>
                <c:pt idx="3">
                  <c:v>2632</c:v>
                </c:pt>
                <c:pt idx="4">
                  <c:v>20</c:v>
                </c:pt>
                <c:pt idx="6">
                  <c:v>128.78</c:v>
                </c:pt>
              </c:numCache>
            </c:numRef>
          </c:val>
          <c:extLst>
            <c:ext xmlns:c16="http://schemas.microsoft.com/office/drawing/2014/chart" uri="{C3380CC4-5D6E-409C-BE32-E72D297353CC}">
              <c16:uniqueId val="{0000001C-3A0F-9345-926E-5084A56020A0}"/>
            </c:ext>
          </c:extLst>
        </c:ser>
        <c:ser>
          <c:idx val="4"/>
          <c:order val="4"/>
          <c:tx>
            <c:strRef>
              <c:f>'Resource Region Chart'!$F$3:$F$4</c:f>
              <c:strCache>
                <c:ptCount val="1"/>
                <c:pt idx="0">
                  <c:v>Nickel</c:v>
                </c:pt>
              </c:strCache>
            </c:strRef>
          </c:tx>
          <c:spPr>
            <a:solidFill>
              <a:schemeClr val="accent5"/>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Chart'!$F$5:$F$12</c:f>
              <c:numCache>
                <c:formatCode>_(* #,##0_);_(* \(#,##0\);_(* "-"??_);_(@_)</c:formatCode>
                <c:ptCount val="7"/>
                <c:pt idx="0">
                  <c:v>37960</c:v>
                </c:pt>
                <c:pt idx="1">
                  <c:v>15</c:v>
                </c:pt>
                <c:pt idx="3">
                  <c:v>500</c:v>
                </c:pt>
              </c:numCache>
            </c:numRef>
          </c:val>
          <c:extLst>
            <c:ext xmlns:c16="http://schemas.microsoft.com/office/drawing/2014/chart" uri="{C3380CC4-5D6E-409C-BE32-E72D297353CC}">
              <c16:uniqueId val="{0000001D-3A0F-9345-926E-5084A56020A0}"/>
            </c:ext>
          </c:extLst>
        </c:ser>
        <c:ser>
          <c:idx val="5"/>
          <c:order val="5"/>
          <c:tx>
            <c:strRef>
              <c:f>'Resource Region Chart'!$G$3:$G$4</c:f>
              <c:strCache>
                <c:ptCount val="1"/>
                <c:pt idx="0">
                  <c:v>Rare Earths</c:v>
                </c:pt>
              </c:strCache>
            </c:strRef>
          </c:tx>
          <c:spPr>
            <a:solidFill>
              <a:schemeClr val="accent6"/>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Chart'!$G$5:$G$12</c:f>
              <c:numCache>
                <c:formatCode>_(* #,##0_);_(* \(#,##0\);_(* "-"??_);_(@_)</c:formatCode>
                <c:ptCount val="7"/>
                <c:pt idx="1">
                  <c:v>136.17000000000002</c:v>
                </c:pt>
              </c:numCache>
            </c:numRef>
          </c:val>
          <c:extLst>
            <c:ext xmlns:c16="http://schemas.microsoft.com/office/drawing/2014/chart" uri="{C3380CC4-5D6E-409C-BE32-E72D297353CC}">
              <c16:uniqueId val="{0000001E-3A0F-9345-926E-5084A56020A0}"/>
            </c:ext>
          </c:extLst>
        </c:ser>
        <c:ser>
          <c:idx val="6"/>
          <c:order val="6"/>
          <c:tx>
            <c:strRef>
              <c:f>'Resource Region Chart'!$H$3:$H$4</c:f>
              <c:strCache>
                <c:ptCount val="1"/>
                <c:pt idx="0">
                  <c:v>Aluminium</c:v>
                </c:pt>
              </c:strCache>
            </c:strRef>
          </c:tx>
          <c:spPr>
            <a:solidFill>
              <a:schemeClr val="accent1">
                <a:lumMod val="60000"/>
              </a:schemeClr>
            </a:solidFill>
            <a:ln>
              <a:noFill/>
            </a:ln>
            <a:effectLst/>
          </c:spPr>
          <c:invertIfNegative val="0"/>
          <c:cat>
            <c:strRef>
              <c:f>'Resource Region Chart'!$A$5:$A$12</c:f>
              <c:strCache>
                <c:ptCount val="7"/>
                <c:pt idx="0">
                  <c:v>South &amp; East Asia </c:v>
                </c:pt>
                <c:pt idx="1">
                  <c:v>Africa</c:v>
                </c:pt>
                <c:pt idx="2">
                  <c:v>Middle East</c:v>
                </c:pt>
                <c:pt idx="3">
                  <c:v>Central &amp; South America</c:v>
                </c:pt>
                <c:pt idx="4">
                  <c:v>Central Asia</c:v>
                </c:pt>
                <c:pt idx="5">
                  <c:v>Europe</c:v>
                </c:pt>
                <c:pt idx="6">
                  <c:v>North America</c:v>
                </c:pt>
              </c:strCache>
            </c:strRef>
          </c:cat>
          <c:val>
            <c:numRef>
              <c:f>'Resource Region Chart'!$H$5:$H$12</c:f>
              <c:numCache>
                <c:formatCode>_(* #,##0_);_(* \(#,##0\);_(* "-"??_);_(@_)</c:formatCode>
                <c:ptCount val="7"/>
                <c:pt idx="0">
                  <c:v>10080</c:v>
                </c:pt>
                <c:pt idx="1">
                  <c:v>2230</c:v>
                </c:pt>
                <c:pt idx="3">
                  <c:v>902</c:v>
                </c:pt>
              </c:numCache>
            </c:numRef>
          </c:val>
          <c:extLst>
            <c:ext xmlns:c16="http://schemas.microsoft.com/office/drawing/2014/chart" uri="{C3380CC4-5D6E-409C-BE32-E72D297353CC}">
              <c16:uniqueId val="{00000000-41C3-F543-A340-18CF92F65589}"/>
            </c:ext>
          </c:extLst>
        </c:ser>
        <c:dLbls>
          <c:showLegendKey val="0"/>
          <c:showVal val="0"/>
          <c:showCatName val="0"/>
          <c:showSerName val="0"/>
          <c:showPercent val="0"/>
          <c:showBubbleSize val="0"/>
        </c:dLbls>
        <c:gapWidth val="150"/>
        <c:overlap val="100"/>
        <c:axId val="1173163968"/>
        <c:axId val="1173129856"/>
      </c:barChart>
      <c:catAx>
        <c:axId val="117316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73129856"/>
        <c:crosses val="autoZero"/>
        <c:auto val="1"/>
        <c:lblAlgn val="ctr"/>
        <c:lblOffset val="100"/>
        <c:noMultiLvlLbl val="0"/>
      </c:catAx>
      <c:valAx>
        <c:axId val="1173129856"/>
        <c:scaling>
          <c:orientation val="minMax"/>
        </c:scaling>
        <c:delete val="0"/>
        <c:axPos val="l"/>
        <c:majorGridlines>
          <c:spPr>
            <a:ln w="9525" cap="flat" cmpd="sng" algn="ctr">
              <a:solidFill>
                <a:schemeClr val="tx1">
                  <a:lumMod val="15000"/>
                  <a:lumOff val="85000"/>
                </a:schemeClr>
              </a:solidFill>
              <a:round/>
            </a:ln>
            <a:effectLst/>
          </c:spPr>
        </c:majorGridlines>
        <c:numFmt formatCode="&quot;US&quot;#,##0&quot;bn&quot;"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73163968"/>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waterfall" uniqueId="{DB033E3E-FEA4-0B45-9AF4-299E27575EFB}">
          <cx:dataPt idx="6">
            <cx:spPr>
              <a:solidFill>
                <a:srgbClr val="156082"/>
              </a:solidFill>
            </cx:spPr>
          </cx:dataPt>
          <cx:dataLabels pos="outEnd">
            <cx:txPr>
              <a:bodyPr spcFirstLastPara="1" vertOverflow="ellipsis" horzOverflow="overflow" wrap="square" lIns="0" tIns="0" rIns="0" bIns="0" anchor="ctr" anchorCtr="1"/>
              <a:lstStyle/>
              <a:p>
                <a:pPr algn="ctr" rtl="0">
                  <a:defRPr sz="1400" b="1"/>
                </a:pPr>
                <a:endParaRPr lang="en-GB" sz="1400" b="1" i="0" u="none" strike="noStrike" baseline="0">
                  <a:solidFill>
                    <a:sysClr val="windowText" lastClr="000000">
                      <a:lumMod val="65000"/>
                      <a:lumOff val="35000"/>
                    </a:sysClr>
                  </a:solidFill>
                  <a:latin typeface="Aptos Narrow" panose="02110004020202020204"/>
                </a:endParaRPr>
              </a:p>
            </cx:txPr>
            <cx:visibility seriesName="0" categoryName="0" value="1"/>
          </cx:dataLabels>
          <cx:dataId val="0"/>
          <cx:layoutPr>
            <cx:visibility connectorLines="0"/>
            <cx:subtotals>
              <cx:idx val="5"/>
              <cx:idx val="6"/>
              <cx:idx val="9"/>
            </cx:subtotals>
          </cx:layoutPr>
        </cx:series>
      </cx:plotAreaRegion>
      <cx:axis id="0">
        <cx:catScaling gapWidth="0.5"/>
        <cx:tickLabels/>
        <cx:txPr>
          <a:bodyPr spcFirstLastPara="1" vertOverflow="ellipsis" horzOverflow="overflow" wrap="square" lIns="0" tIns="0" rIns="0" bIns="0" anchor="ctr" anchorCtr="1"/>
          <a:lstStyle/>
          <a:p>
            <a:pPr algn="ctr" rtl="0">
              <a:defRPr sz="1400"/>
            </a:pPr>
            <a:endParaRPr lang="en-GB" sz="1400" b="0" i="0" u="none" strike="noStrike" baseline="0">
              <a:solidFill>
                <a:sysClr val="windowText" lastClr="000000">
                  <a:lumMod val="65000"/>
                  <a:lumOff val="35000"/>
                </a:sysClr>
              </a:solidFill>
              <a:latin typeface="Aptos Narrow" panose="02110004020202020204"/>
            </a:endParaRPr>
          </a:p>
        </cx:txPr>
      </cx:axis>
      <cx:axis id="1">
        <cx:valScaling/>
        <cx:majorGridlines/>
        <cx:tickLabels/>
        <cx:numFmt formatCode="&quot;US$&quot;#,##0&quot;bn&quot;" sourceLinked="0"/>
        <cx:txPr>
          <a:bodyPr spcFirstLastPara="1" vertOverflow="ellipsis" horzOverflow="overflow" wrap="square" lIns="0" tIns="0" rIns="0" bIns="0" anchor="ctr" anchorCtr="1"/>
          <a:lstStyle/>
          <a:p>
            <a:pPr algn="ctr" rtl="0">
              <a:defRPr sz="1400"/>
            </a:pPr>
            <a:endParaRPr lang="en-GB" sz="1400" b="0" i="0" u="none" strike="noStrike" baseline="0">
              <a:solidFill>
                <a:sysClr val="windowText" lastClr="000000">
                  <a:lumMod val="65000"/>
                  <a:lumOff val="35000"/>
                </a:sysClr>
              </a:solidFill>
              <a:latin typeface="Aptos Narrow" panose="02110004020202020204"/>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1</xdr:col>
      <xdr:colOff>2697089</xdr:colOff>
      <xdr:row>8</xdr:row>
      <xdr:rowOff>0</xdr:rowOff>
    </xdr:to>
    <xdr:pic>
      <xdr:nvPicPr>
        <xdr:cNvPr id="2" name="Graphic 1">
          <a:extLst>
            <a:ext uri="{FF2B5EF4-FFF2-40B4-BE49-F238E27FC236}">
              <a16:creationId xmlns:a16="http://schemas.microsoft.com/office/drawing/2014/main" id="{1599E271-EAF1-DD4A-A5BB-4FFD623A8CA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00101" y="203201"/>
          <a:ext cx="2697088" cy="1422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393700</xdr:colOff>
      <xdr:row>15</xdr:row>
      <xdr:rowOff>12700</xdr:rowOff>
    </xdr:from>
    <xdr:to>
      <xdr:col>10</xdr:col>
      <xdr:colOff>12700</xdr:colOff>
      <xdr:row>51</xdr:row>
      <xdr:rowOff>0</xdr:rowOff>
    </xdr:to>
    <xdr:graphicFrame macro="">
      <xdr:nvGraphicFramePr>
        <xdr:cNvPr id="4" name="Chart 3">
          <a:extLst>
            <a:ext uri="{FF2B5EF4-FFF2-40B4-BE49-F238E27FC236}">
              <a16:creationId xmlns:a16="http://schemas.microsoft.com/office/drawing/2014/main" id="{913ECEB1-63EC-A146-A2CC-7CDBEA6481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444500</xdr:colOff>
      <xdr:row>23</xdr:row>
      <xdr:rowOff>177800</xdr:rowOff>
    </xdr:from>
    <xdr:to>
      <xdr:col>11</xdr:col>
      <xdr:colOff>774700</xdr:colOff>
      <xdr:row>59</xdr:row>
      <xdr:rowOff>139700</xdr:rowOff>
    </xdr:to>
    <xdr:graphicFrame macro="">
      <xdr:nvGraphicFramePr>
        <xdr:cNvPr id="2" name="Chart 1">
          <a:extLst>
            <a:ext uri="{FF2B5EF4-FFF2-40B4-BE49-F238E27FC236}">
              <a16:creationId xmlns:a16="http://schemas.microsoft.com/office/drawing/2014/main" id="{8CD22CC3-5392-8947-B803-6B9574E24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33</xdr:row>
      <xdr:rowOff>198914</xdr:rowOff>
    </xdr:from>
    <xdr:to>
      <xdr:col>8</xdr:col>
      <xdr:colOff>1530119</xdr:colOff>
      <xdr:row>65</xdr:row>
      <xdr:rowOff>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30A8B928-ACDE-3103-76C9-FAD50B6A5BC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349499" y="6904514"/>
              <a:ext cx="11398020" cy="6303486"/>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14</xdr:row>
      <xdr:rowOff>0</xdr:rowOff>
    </xdr:from>
    <xdr:to>
      <xdr:col>8</xdr:col>
      <xdr:colOff>0</xdr:colOff>
      <xdr:row>40</xdr:row>
      <xdr:rowOff>0</xdr:rowOff>
    </xdr:to>
    <xdr:graphicFrame macro="">
      <xdr:nvGraphicFramePr>
        <xdr:cNvPr id="2" name="Chart 1">
          <a:extLst>
            <a:ext uri="{FF2B5EF4-FFF2-40B4-BE49-F238E27FC236}">
              <a16:creationId xmlns:a16="http://schemas.microsoft.com/office/drawing/2014/main" id="{7BE22BA2-2E06-A832-ABFC-67AD6C1D2B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16</xdr:row>
      <xdr:rowOff>0</xdr:rowOff>
    </xdr:from>
    <xdr:to>
      <xdr:col>13</xdr:col>
      <xdr:colOff>0</xdr:colOff>
      <xdr:row>44</xdr:row>
      <xdr:rowOff>101600</xdr:rowOff>
    </xdr:to>
    <xdr:graphicFrame macro="">
      <xdr:nvGraphicFramePr>
        <xdr:cNvPr id="2" name="Chart 1">
          <a:extLst>
            <a:ext uri="{FF2B5EF4-FFF2-40B4-BE49-F238E27FC236}">
              <a16:creationId xmlns:a16="http://schemas.microsoft.com/office/drawing/2014/main" id="{749F8637-D6F8-5D59-DB78-21BBE39B61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647700</xdr:colOff>
      <xdr:row>2</xdr:row>
      <xdr:rowOff>22228</xdr:rowOff>
    </xdr:from>
    <xdr:to>
      <xdr:col>12</xdr:col>
      <xdr:colOff>0</xdr:colOff>
      <xdr:row>14</xdr:row>
      <xdr:rowOff>0</xdr:rowOff>
    </xdr:to>
    <mc:AlternateContent xmlns:mc="http://schemas.openxmlformats.org/markup-compatibility/2006" xmlns:a14="http://schemas.microsoft.com/office/drawing/2010/main">
      <mc:Choice Requires="a14">
        <xdr:graphicFrame macro="">
          <xdr:nvGraphicFramePr>
            <xdr:cNvPr id="4" name="Progress">
              <a:extLst>
                <a:ext uri="{FF2B5EF4-FFF2-40B4-BE49-F238E27FC236}">
                  <a16:creationId xmlns:a16="http://schemas.microsoft.com/office/drawing/2014/main" id="{4E165956-CD35-A83A-80DC-46272DA45598}"/>
                </a:ext>
              </a:extLst>
            </xdr:cNvPr>
            <xdr:cNvGraphicFramePr/>
          </xdr:nvGraphicFramePr>
          <xdr:xfrm>
            <a:off x="0" y="0"/>
            <a:ext cx="0" cy="0"/>
          </xdr:xfrm>
          <a:graphic>
            <a:graphicData uri="http://schemas.microsoft.com/office/drawing/2010/slicer">
              <sle:slicer xmlns:sle="http://schemas.microsoft.com/office/drawing/2010/slicer" name="Progress"/>
            </a:graphicData>
          </a:graphic>
        </xdr:graphicFrame>
      </mc:Choice>
      <mc:Fallback xmlns="">
        <xdr:sp macro="" textlink="">
          <xdr:nvSpPr>
            <xdr:cNvPr id="0" name=""/>
            <xdr:cNvSpPr>
              <a:spLocks noTextEdit="1"/>
            </xdr:cNvSpPr>
          </xdr:nvSpPr>
          <xdr:spPr>
            <a:xfrm>
              <a:off x="9588500" y="428628"/>
              <a:ext cx="1828800" cy="2416172"/>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ttpollard/Desktop/OFDI%20Tracker_10Feb2026.xlsx" TargetMode="External"/><Relationship Id="rId2" Type="http://schemas.openxmlformats.org/officeDocument/2006/relationships/externalLinkPath" Target="/Users/mattpollard/Desktop/OFDI%20Tracker_10Feb2026.xlsx" TargetMode="External"/><Relationship Id="rId1" Type="http://schemas.openxmlformats.org/officeDocument/2006/relationships/externalLinkPath" Target="/Users/mattpollard/Desktop/OFDI%20Tracker_10Feb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finitions"/>
      <sheetName val="Global"/>
      <sheetName val="Region Chart"/>
      <sheetName val="Tech Chart"/>
      <sheetName val="North and South"/>
      <sheetName val="Batteries"/>
      <sheetName val="Resources"/>
      <sheetName val="Simandou"/>
    </sheetNames>
    <sheetDataSet>
      <sheetData sheetId="0">
        <row r="3">
          <cell r="K3">
            <v>1.31</v>
          </cell>
        </row>
        <row r="4">
          <cell r="K4">
            <v>1.1100000000000001</v>
          </cell>
        </row>
        <row r="6">
          <cell r="K6">
            <v>0.67</v>
          </cell>
        </row>
      </sheetData>
      <sheetData sheetId="1"/>
      <sheetData sheetId="2"/>
      <sheetData sheetId="3"/>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87.589628472226" createdVersion="8" refreshedVersion="8" minRefreshableVersion="3" recordCount="305" xr:uid="{7EBDF391-58D3-A94D-BB9C-EACF6FDD099F}">
  <cacheSource type="worksheet">
    <worksheetSource name="Global"/>
  </cacheSource>
  <cacheFields count="18">
    <cacheField name="Technology" numFmtId="0">
      <sharedItems containsBlank="1" count="18">
        <s v="Wind Farm"/>
        <s v="Hybrid - Wind &amp; BESS"/>
        <s v="Wind Manufacturing"/>
        <s v="Solar Farm"/>
        <s v="Hybrid - Solar &amp; BESS"/>
        <s v="Hybrid - Solar &amp; Wind"/>
        <s v="Solar Manufacturing"/>
        <s v="Hydro"/>
        <s v="Grid Transmission"/>
        <s v="Battery Manufacturing"/>
        <s v="Battery Materials Manufacturing"/>
        <s v="Battery Recycling"/>
        <s v="BESS"/>
        <s v="Waste-to-Energy"/>
        <s v="Green Hydrogen"/>
        <s v="NEVs"/>
        <m/>
        <s v="Inverter Manufacturing" u="1"/>
      </sharedItems>
    </cacheField>
    <cacheField name="Company" numFmtId="0">
      <sharedItems containsBlank="1"/>
    </cacheField>
    <cacheField name="JV" numFmtId="0">
      <sharedItems containsBlank="1"/>
    </cacheField>
    <cacheField name="Investment Partner" numFmtId="0">
      <sharedItems containsBlank="1"/>
    </cacheField>
    <cacheField name="SOE/Gov Partner" numFmtId="0">
      <sharedItems containsBlank="1"/>
    </cacheField>
    <cacheField name="Investment - Identified (US$m)" numFmtId="3">
      <sharedItems containsString="0" containsBlank="1" containsNumber="1" minValue="3.6" maxValue="8400"/>
    </cacheField>
    <cacheField name="Investment - Estimated (US$m)" numFmtId="3">
      <sharedItems containsString="0" containsBlank="1" containsNumber="1" minValue="0" maxValue="5100"/>
    </cacheField>
    <cacheField name="Investment Total (US$m)" numFmtId="3">
      <sharedItems containsString="0" containsBlank="1" containsNumber="1" minValue="0" maxValue="8400"/>
    </cacheField>
    <cacheField name="Subnational Location" numFmtId="0">
      <sharedItems containsBlank="1"/>
    </cacheField>
    <cacheField name="Country" numFmtId="0">
      <sharedItems containsBlank="1"/>
    </cacheField>
    <cacheField name="Region" numFmtId="0">
      <sharedItems containsBlank="1" count="12">
        <s v="Africa"/>
        <s v="South &amp; East Asia "/>
        <s v="Europe"/>
        <s v="Central Asia"/>
        <s v="Central &amp; South America"/>
        <s v="Middle East"/>
        <s v="Australasia"/>
        <s v="North America"/>
        <m/>
        <s v="North Africa" u="1"/>
        <s v="Sub-Saharan Africa" u="1"/>
        <s v="Asia Pacific" u="1"/>
      </sharedItems>
    </cacheField>
    <cacheField name="Product" numFmtId="0">
      <sharedItems containsBlank="1"/>
    </cacheField>
    <cacheField name="Progress" numFmtId="0">
      <sharedItems containsBlank="1"/>
    </cacheField>
    <cacheField name="Est. Start of Production" numFmtId="0">
      <sharedItems containsBlank="1" containsMixedTypes="1" containsNumber="1" containsInteger="1" minValue="2020" maxValue="2032"/>
    </cacheField>
    <cacheField name="News Update" numFmtId="164">
      <sharedItems containsNonDate="0" containsDate="1" containsString="0" containsBlank="1" minDate="2022-05-01T00:00:00" maxDate="2026-02-02T00:00:00"/>
    </cacheField>
    <cacheField name="Source" numFmtId="0">
      <sharedItems containsBlank="1" longText="1"/>
    </cacheField>
    <cacheField name="Column1" numFmtId="0">
      <sharedItems containsBlank="1"/>
    </cacheField>
    <cacheField name="Column2"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87.699064120374" createdVersion="8" refreshedVersion="8" minRefreshableVersion="3" recordCount="73" xr:uid="{3C97C553-E96E-9E40-858F-67CAFA6408B2}">
  <cacheSource type="worksheet">
    <worksheetSource name="Resources"/>
  </cacheSource>
  <cacheFields count="13">
    <cacheField name="Sector" numFmtId="0">
      <sharedItems containsBlank="1"/>
    </cacheField>
    <cacheField name="Resource" numFmtId="0">
      <sharedItems containsBlank="1" count="9">
        <s v="Rare Earths"/>
        <s v="Lithium"/>
        <s v="Iron Ore"/>
        <s v="Iron Metal"/>
        <s v="Gold"/>
        <s v="Copper"/>
        <s v="Nickel"/>
        <s v="Aluminium"/>
        <m/>
      </sharedItems>
    </cacheField>
    <cacheField name="Company" numFmtId="0">
      <sharedItems containsBlank="1"/>
    </cacheField>
    <cacheField name="Partner" numFmtId="0">
      <sharedItems containsBlank="1"/>
    </cacheField>
    <cacheField name="Identified Investment (US$m)" numFmtId="0">
      <sharedItems containsString="0" containsBlank="1" containsNumber="1" minValue="1.5" maxValue="23200"/>
    </cacheField>
    <cacheField name="Estimated Investment (US$m)" numFmtId="0">
      <sharedItems containsString="0" containsBlank="1" containsNumber="1" containsInteger="1" minValue="30" maxValue="4200"/>
    </cacheField>
    <cacheField name="Total Investment (US$m)" numFmtId="0">
      <sharedItems containsString="0" containsBlank="1" containsNumber="1" minValue="0" maxValue="23200"/>
    </cacheField>
    <cacheField name="Country" numFmtId="0">
      <sharedItems containsBlank="1"/>
    </cacheField>
    <cacheField name="Region" numFmtId="0">
      <sharedItems containsBlank="1" count="8">
        <s v="Africa"/>
        <s v="Central &amp; South America"/>
        <s v="North America"/>
        <s v="Central Asia"/>
        <s v="Middle East"/>
        <s v="Europe"/>
        <s v="South &amp; East Asia "/>
        <m/>
      </sharedItems>
    </cacheField>
    <cacheField name="Description" numFmtId="0">
      <sharedItems containsBlank="1" longText="1"/>
    </cacheField>
    <cacheField name="Progress" numFmtId="0">
      <sharedItems containsBlank="1" count="7">
        <s v="M&amp;A"/>
        <s v="Announced"/>
        <s v="Speculated"/>
        <s v="Operation"/>
        <s v="Construction"/>
        <s v="Postponed"/>
        <m/>
      </sharedItems>
    </cacheField>
    <cacheField name="Date" numFmtId="0">
      <sharedItems containsDate="1" containsString="0" containsBlank="1" containsMixedTypes="1" minDate="2022-07-01T00:00:00" maxDate="2026-01-02T00:00:00"/>
    </cacheField>
    <cacheField name="Source" numFmtId="0">
      <sharedItems containsBlank="1"/>
    </cacheField>
  </cacheFields>
  <extLst>
    <ext xmlns:x14="http://schemas.microsoft.com/office/spreadsheetml/2009/9/main" uri="{725AE2AE-9491-48be-B2B4-4EB974FC3084}">
      <x14:pivotCacheDefinition pivotCacheId="127667630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5">
  <r>
    <x v="0"/>
    <s v="Power China"/>
    <s v="Yes"/>
    <s v="Huadong Power China"/>
    <m/>
    <n v="709"/>
    <m/>
    <n v="709"/>
    <m/>
    <s v="Egypt"/>
    <x v="0"/>
    <s v="500MW wind farm"/>
    <m/>
    <n v="2024"/>
    <d v="2024-03-01T00:00:00"/>
    <m/>
    <m/>
    <m/>
  </r>
  <r>
    <x v="0"/>
    <s v="Power China"/>
    <s v="No"/>
    <m/>
    <m/>
    <n v="150"/>
    <m/>
    <n v="150"/>
    <m/>
    <s v="Bangladesh"/>
    <x v="1"/>
    <s v="65MW wind farm"/>
    <m/>
    <n v="2024"/>
    <d v="2024-06-01T00:00:00"/>
    <m/>
    <m/>
    <m/>
  </r>
  <r>
    <x v="0"/>
    <s v="Power China"/>
    <s v="Yes"/>
    <s v="Monsoon Wind Power"/>
    <m/>
    <n v="950"/>
    <m/>
    <n v="950"/>
    <m/>
    <s v="Laos"/>
    <x v="1"/>
    <s v="Construction of a 600MW wind farm &amp; 27km Grid"/>
    <m/>
    <n v="2025"/>
    <d v="2025-06-01T00:00:00"/>
    <s v="https://www.monsoonwindasia.com/news-and-updates-2/achieve-key-milestone-project-energization"/>
    <m/>
    <m/>
  </r>
  <r>
    <x v="0"/>
    <s v="Power China"/>
    <s v="Yes"/>
    <s v="CWP Global"/>
    <m/>
    <n v="561"/>
    <m/>
    <n v="561"/>
    <s v="Pancevo"/>
    <s v="Serbia"/>
    <x v="2"/>
    <s v="Construction of a 300MW wind farm"/>
    <m/>
    <m/>
    <d v="2025-03-01T00:00:00"/>
    <s v="https://serbia-energy.eu/serbia-construction-of-300-mw-vetrozelena-wind-farm-near-pancevo-to-begin-soon/"/>
    <m/>
    <m/>
  </r>
  <r>
    <x v="0"/>
    <s v="CEEC"/>
    <s v="Yes"/>
    <s v="Power Beacon RE"/>
    <m/>
    <m/>
    <n v="600"/>
    <n v="600"/>
    <m/>
    <s v="Philippines"/>
    <x v="1"/>
    <s v="to construct a 400MW wind farm"/>
    <m/>
    <n v="2026"/>
    <d v="2024-09-01T00:00:00"/>
    <m/>
    <m/>
    <m/>
  </r>
  <r>
    <x v="0"/>
    <s v="CEEC"/>
    <s v="Yes"/>
    <s v="Samruk‑Energy "/>
    <m/>
    <m/>
    <n v="800"/>
    <n v="800"/>
    <m/>
    <s v="Kazakhstan"/>
    <x v="3"/>
    <s v="1500MW Wind &amp; 150MW 2hr BESS"/>
    <m/>
    <s v="n.a."/>
    <d v="2026-01-01T00:00:00"/>
    <s v="https://renewables.az/en/news/samruk-energy-and-china-energy-advance-800-mw-renewable-projects-in-kazakhstan"/>
    <s v="https://qazinform.com/news/chinese-investors-to-launch-2-billion-renewable-energy-projects-in-kazakhstan-35b36c#:~:text=These%20areas%20were%20selected%20due,wind%20farm%20in%20the%20Caucasus."/>
    <m/>
  </r>
  <r>
    <x v="0"/>
    <s v="Sany"/>
    <s v="No"/>
    <m/>
    <m/>
    <n v="1000"/>
    <m/>
    <n v="1000"/>
    <s v="Kungler 1 &amp; 2"/>
    <s v="Uzbekistan"/>
    <x v="3"/>
    <s v="to construct a 1GW wind farm"/>
    <m/>
    <m/>
    <d v="2025-07-01T00:00:00"/>
    <s v="https://finance.sina.com.cn/roll/2025-04-05/doc-inesapiy3801618.shtml"/>
    <m/>
    <m/>
  </r>
  <r>
    <x v="0"/>
    <s v="Sany"/>
    <s v="No"/>
    <m/>
    <m/>
    <m/>
    <n v="250"/>
    <n v="250"/>
    <m/>
    <s v="Serbia"/>
    <x v="2"/>
    <s v="Acquisition of 168MW wind farm"/>
    <m/>
    <m/>
    <d v="2025-02-01T00:00:00"/>
    <s v="https://renewablesnow.com/news/nordic-renewables-firm-emergy-to-sell-168-mw-wind-project-in-serbia-1271365/"/>
    <m/>
    <m/>
  </r>
  <r>
    <x v="0"/>
    <s v="CPCG"/>
    <m/>
    <m/>
    <m/>
    <m/>
    <n v="200"/>
    <n v="200"/>
    <m/>
    <s v="Serbia"/>
    <x v="2"/>
    <s v="Building the 150MW Black Peak Wind farm"/>
    <m/>
    <n v="2026"/>
    <d v="2024-10-01T00:00:00"/>
    <s v="https://www.power-technology.com/data-insights/power-plant-profile-black-peak-wind-farm-serbia/#:~:text=Black%20Peak%20Wind%20Farm%20is%20a%20150MW,planned%20in%20Southern%20and%20Eastern%20Serbia%2C%20Serbia."/>
    <m/>
    <m/>
  </r>
  <r>
    <x v="0"/>
    <s v="China Southern Grid"/>
    <s v="Yes"/>
    <s v="ACWA Power (65%)"/>
    <m/>
    <n v="1300"/>
    <m/>
    <n v="1300"/>
    <s v="Bash &amp; Dzhankeldy, Bukhara region"/>
    <s v="Uzbekistan"/>
    <x v="3"/>
    <s v="Acquiring a 35% stake in 1GW wind"/>
    <m/>
    <n v="2025"/>
    <d v="2025-04-01T00:00:00"/>
    <s v="https://asian-power.com/project/news/acwa-powers-1-gw-wind-portfolio-in-uzbekistan-reaches-full-commercial-operations"/>
    <m/>
    <m/>
  </r>
  <r>
    <x v="0"/>
    <s v="CK Infrastructure"/>
    <s v="Yes"/>
    <s v="Aviva Investors"/>
    <m/>
    <n v="450"/>
    <m/>
    <n v="450"/>
    <m/>
    <s v="UK"/>
    <x v="2"/>
    <s v="175MW of onshore wind farms"/>
    <m/>
    <n v="2024"/>
    <d v="2024-08-01T00:00:00"/>
    <m/>
    <m/>
    <m/>
  </r>
  <r>
    <x v="0"/>
    <s v="Mingyang"/>
    <s v="Yes"/>
    <s v="COPEL"/>
    <m/>
    <m/>
    <n v="240"/>
    <n v="240"/>
    <m/>
    <s v="Brazil"/>
    <x v="4"/>
    <s v="240MW of onshore wind farms"/>
    <m/>
    <m/>
    <d v="2024-08-01T00:00:00"/>
    <m/>
    <m/>
    <m/>
  </r>
  <r>
    <x v="0"/>
    <s v="Mingyang"/>
    <s v="No"/>
    <m/>
    <m/>
    <m/>
    <n v="200"/>
    <n v="200"/>
    <s v="Bor"/>
    <s v="Serbia"/>
    <x v="2"/>
    <s v="150MW  Serbia Black Peak Onshore Wind Farm"/>
    <m/>
    <n v="2025"/>
    <d v="2025-04-01T00:00:00"/>
    <s v="https://serbia-energy.eu/black-peak-150mw-wind-park-construction-pushed-forward-with-new-chinese-owners/"/>
    <m/>
    <m/>
  </r>
  <r>
    <x v="0"/>
    <s v="CTG Brasil"/>
    <s v="No"/>
    <m/>
    <m/>
    <m/>
    <n v="648"/>
    <n v="648"/>
    <m/>
    <s v="Brazil"/>
    <x v="4"/>
    <s v="648MW windfarm"/>
    <m/>
    <n v="2024"/>
    <d v="2025-09-01T00:00:00"/>
    <s v="https://www.ctg.com.cn/ctgenglish/news_media/news37/2025012613205432520/index.html"/>
    <m/>
    <m/>
  </r>
  <r>
    <x v="0"/>
    <s v="Goldwind"/>
    <s v="No"/>
    <m/>
    <m/>
    <m/>
    <n v="206"/>
    <n v="206"/>
    <m/>
    <s v="Georgia"/>
    <x v="5"/>
    <s v="206MW onshore wind farm"/>
    <m/>
    <m/>
    <d v="2024-08-01T00:00:00"/>
    <m/>
    <m/>
    <m/>
  </r>
  <r>
    <x v="0"/>
    <s v="Goldwind / ENGIE"/>
    <s v="Yes"/>
    <s v="Red Sea Wind"/>
    <m/>
    <m/>
    <n v="1000"/>
    <n v="1000"/>
    <m/>
    <s v="Egypt"/>
    <x v="0"/>
    <s v="650MW onshore wind farm"/>
    <m/>
    <n v="2025"/>
    <d v="2025-07-01T00:00:00"/>
    <s v="https://www.windtech-international.com/projects-and-contracts/goldwind-completes-500mw-red-sea-wind-farm-in-egypt"/>
    <m/>
    <m/>
  </r>
  <r>
    <x v="0"/>
    <s v="Goldwind"/>
    <s v="Yes"/>
    <s v="Heongtong Group"/>
    <m/>
    <m/>
    <n v="547.5"/>
    <n v="547.5"/>
    <m/>
    <s v="South Korea"/>
    <x v="1"/>
    <s v="To supply 365MW of offshore turbines"/>
    <m/>
    <m/>
    <d v="2024-06-01T00:00:00"/>
    <m/>
    <m/>
    <m/>
  </r>
  <r>
    <x v="0"/>
    <s v="SPIC"/>
    <s v="No"/>
    <m/>
    <m/>
    <n v="147"/>
    <m/>
    <n v="147"/>
    <s v="Rio Grande do Norte"/>
    <s v="Brazil"/>
    <x v="4"/>
    <s v="105MW onshore wind farm"/>
    <s v="Construction"/>
    <n v="2026"/>
    <d v="2024-06-01T00:00:00"/>
    <s v="https://www.reuters.com/business/energy/chinas-spic-invests-147-million-brazil-wind-farms-launches-solar-parks-2024-06-05/#:~:text=China's%20SPIC%20invests%20$147%20million,farms%2C%20launches%20solar%20parks%20%7C%20Reuters"/>
    <m/>
    <m/>
  </r>
  <r>
    <x v="1"/>
    <s v="Goldwind"/>
    <s v="Yes"/>
    <s v="Omni Energy"/>
    <m/>
    <n v="2479"/>
    <m/>
    <n v="2479"/>
    <s v="NSW"/>
    <s v="Australia"/>
    <x v="6"/>
    <s v="1.4GW wind, 200MW-2hr BESS"/>
    <m/>
    <n v="2028"/>
    <d v="2024-08-01T00:00:00"/>
    <m/>
    <m/>
    <m/>
  </r>
  <r>
    <x v="0"/>
    <s v="SDIC's Red Rock"/>
    <s v="Yes"/>
    <s v="ESB"/>
    <m/>
    <n v="4585"/>
    <m/>
    <n v="4585"/>
    <m/>
    <s v="Scotland"/>
    <x v="2"/>
    <s v="1.1GW offshore wind farm"/>
    <m/>
    <n v="2027"/>
    <d v="2025-06-01T00:00:00"/>
    <s v="https://www.inchcapewind.com/scottish-flagship-offshore-wind-project-inch-cape-reaches-financial-clos/"/>
    <m/>
    <m/>
  </r>
  <r>
    <x v="0"/>
    <s v="Envision"/>
    <s v="Yes"/>
    <s v="ERN Holding &amp; Yildizlar Group"/>
    <m/>
    <m/>
    <n v="464"/>
    <n v="464"/>
    <s v="Karaman"/>
    <s v="Turkey"/>
    <x v="2"/>
    <s v="232MW wind farm"/>
    <m/>
    <n v="2027"/>
    <d v="2025-08-01T00:00:00"/>
    <s v="https://reneweconomy.com.au/envision-energy-makes-landmark-entry-into-turkey/"/>
    <m/>
    <m/>
  </r>
  <r>
    <x v="0"/>
    <s v="Shenhua Clean Energy"/>
    <s v="Yes"/>
    <s v="Hydro Tasmania"/>
    <m/>
    <m/>
    <n v="650"/>
    <n v="650"/>
    <s v="Tasmania"/>
    <s v="Australia"/>
    <x v="6"/>
    <s v="400MW onshore wind farm"/>
    <m/>
    <m/>
    <d v="2023-02-01T00:00:00"/>
    <m/>
    <m/>
    <m/>
  </r>
  <r>
    <x v="0"/>
    <s v="Zhejiang Windey Wind"/>
    <s v="No"/>
    <s v="Fintel Energija ad Beograd"/>
    <m/>
    <m/>
    <n v="1000"/>
    <n v="1000"/>
    <s v="Vojvodina"/>
    <s v="Serbia"/>
    <x v="2"/>
    <s v="862MW onshore wind farm - China EPC &amp; debt funding"/>
    <s v="Construction"/>
    <n v="2025"/>
    <d v="2024-11-01T00:00:00"/>
    <s v="https://www.power-technology.com/marketdata/power-plant-profile-maestrale-ring-wind-farm-serbia/?cf-view"/>
    <m/>
    <m/>
  </r>
  <r>
    <x v="2"/>
    <s v="Mingyang"/>
    <s v="Yes"/>
    <s v="Renexia"/>
    <m/>
    <n v="555"/>
    <m/>
    <n v="555"/>
    <m/>
    <s v="Italy"/>
    <x v="2"/>
    <s v="Offshore wind turbines"/>
    <m/>
    <m/>
    <d v="2024-08-01T00:00:00"/>
    <s v="https://renewablesnow.com/news/renexia-mingyang-ink-pact-for-eur-500m-wind-turbine-factory-in-italy-865811/"/>
    <m/>
    <m/>
  </r>
  <r>
    <x v="2"/>
    <s v="Mingyang"/>
    <s v="Yes"/>
    <s v="Unison"/>
    <m/>
    <n v="104.38413361169103"/>
    <m/>
    <n v="104.38413361169103"/>
    <m/>
    <s v="South Korea"/>
    <x v="1"/>
    <s v="Offshore wind turbines"/>
    <m/>
    <n v="2026"/>
    <d v="2024-12-01T00:00:00"/>
    <s v="https://renewablesnow.com/news/mingyang-sets-up-wind-turbine-manufacturing-jv-in-s-korea-867980/"/>
    <m/>
    <m/>
  </r>
  <r>
    <x v="2"/>
    <s v="Mingyang"/>
    <s v="No"/>
    <m/>
    <m/>
    <n v="1500"/>
    <m/>
    <n v="1500"/>
    <m/>
    <s v="Scotland"/>
    <x v="2"/>
    <s v="Offshore wind turbines - three phases"/>
    <s v="Announced"/>
    <m/>
    <d v="2025-10-01T00:00:00"/>
    <s v="https://renews.biz/97329/room-for-mingyang-scottish-factory/"/>
    <s v="https://en.myse.com.cn/news/info.aspx?itemid=2529"/>
    <m/>
  </r>
  <r>
    <x v="2"/>
    <s v="Goldwind"/>
    <s v="No"/>
    <m/>
    <m/>
    <n v="18"/>
    <m/>
    <n v="18"/>
    <s v="Camacari"/>
    <s v="Brazil"/>
    <x v="4"/>
    <s v="Onshore wind turbines - 0.9GW pa"/>
    <m/>
    <n v="2024"/>
    <d v="2024-08-01T00:00:00"/>
    <s v="https://renewablesnow.com/news/goldwind-inaugurates-factory-in-brazils-bahia-1st-outside-china-867206/"/>
    <m/>
    <m/>
  </r>
  <r>
    <x v="2"/>
    <s v="Envision"/>
    <s v="Yes"/>
    <s v="RELC &amp; Vision"/>
    <m/>
    <m/>
    <n v="800"/>
    <n v="800"/>
    <m/>
    <s v="Saudi Arabia"/>
    <x v="5"/>
    <s v="4GW pa of onshore wind turbines"/>
    <m/>
    <m/>
    <d v="2024-07-01T00:00:00"/>
    <s v="https://www.pif.gov.sa/en/news-and-insights/press-releases/2024/pif-strengthens-renewable-energy-localization-in-saudi-arabia-with-three-new-joint-ventures/"/>
    <m/>
    <m/>
  </r>
  <r>
    <x v="2"/>
    <s v="Envision"/>
    <s v="Yes"/>
    <s v="Samruk Energy and Kazakhstan Utility Systems"/>
    <m/>
    <n v="40"/>
    <m/>
    <n v="40"/>
    <m/>
    <s v="Kazakhstan"/>
    <x v="3"/>
    <s v="Onshore wind turbines - 2GW pa &amp; BESS"/>
    <m/>
    <n v="2026"/>
    <d v="2024-12-01T00:00:00"/>
    <s v="https://www.power-technology.com/news/envision-wind-turbine-energy-storage-kazakhstan/"/>
    <m/>
    <m/>
  </r>
  <r>
    <x v="2"/>
    <s v="Envision"/>
    <s v="Yes"/>
    <s v="ACWA Power"/>
    <m/>
    <m/>
    <m/>
    <n v="0"/>
    <m/>
    <s v="Uzbekistan"/>
    <x v="3"/>
    <s v="Onshore wind turbine mfg"/>
    <s v="Announced"/>
    <m/>
    <d v="2025-11-01T00:00:00"/>
    <s v="https://www.rechargenews.com/markets-and-finance/chinas-envision-closes-wind-turbine-factories-and-supply-deal-with-saudi-giant/2-1-1895562"/>
    <s v="https://renewablesnow.com/news/envision-acwa-power-sign-cooperation-framework-agreement-1284359/"/>
    <m/>
  </r>
  <r>
    <x v="2"/>
    <s v="Envision"/>
    <s v="Yes"/>
    <s v="AM Green"/>
    <m/>
    <m/>
    <n v="60"/>
    <n v="60"/>
    <s v="Gujarat"/>
    <s v="India"/>
    <x v="1"/>
    <s v="Onshore wind turbine blades - 2GW pa"/>
    <s v="Construction"/>
    <n v="2027"/>
    <d v="2025-09-01T00:00:00"/>
    <s v="https://www.rechargenews.com/energy-transition/second-chinese-wind-turbine-maker-unveils-kazakhstan-factory-plan/2-1-1747090"/>
    <s v="https://renewablesnow.com/news/envision-breaks-ground-on-2-gw-wind-turbine-blades-factory-in-india-1282128/"/>
    <m/>
  </r>
  <r>
    <x v="2"/>
    <s v="Envision"/>
    <m/>
    <m/>
    <m/>
    <m/>
    <m/>
    <n v="0"/>
    <s v="Tamil Nadu"/>
    <s v="India"/>
    <x v="1"/>
    <s v="Onshore wind turbine nacelles - 3GW pa"/>
    <s v="Operation"/>
    <n v="2023"/>
    <m/>
    <s v="https://www.envision-energy.in/about-us#:~:text=Overview,Bengaluru"/>
    <m/>
    <m/>
  </r>
  <r>
    <x v="2"/>
    <s v="Shanghai Electric"/>
    <s v="Yes"/>
    <s v="Mawarid Turbine"/>
    <m/>
    <n v="200"/>
    <m/>
    <n v="200"/>
    <s v="Sezad"/>
    <s v="Oman"/>
    <x v="5"/>
    <s v="Onshore wind turbines - 1GW pa"/>
    <m/>
    <m/>
    <d v="2025-04-01T00:00:00"/>
    <s v="https://www.omanobserver.om/article/1168994/business/economy/wind-turbines-factory-launched-in-sezad "/>
    <m/>
    <m/>
  </r>
  <r>
    <x v="2"/>
    <s v="Sinowind"/>
    <s v="No"/>
    <m/>
    <m/>
    <n v="50"/>
    <m/>
    <n v="50"/>
    <m/>
    <s v="Uzbekistan"/>
    <x v="3"/>
    <m/>
    <m/>
    <n v="2025"/>
    <d v="2024-11-01T00:00:00"/>
    <s v="https://kun.uz/en/news/2024/11/05/chinas-sino-wind-energy-plans-wind-turbine-blade-production-plant-in-uzbekistan"/>
    <m/>
    <m/>
  </r>
  <r>
    <x v="2"/>
    <s v="Sany"/>
    <s v="No"/>
    <m/>
    <m/>
    <n v="114"/>
    <m/>
    <n v="114"/>
    <m/>
    <s v="Kazakhstan"/>
    <x v="3"/>
    <s v="Onshore wind turbines"/>
    <m/>
    <n v="2025"/>
    <d v="2024-11-01T00:00:00"/>
    <s v="https://interfax.com/newsroom/top-stories/108177/"/>
    <m/>
    <m/>
  </r>
  <r>
    <x v="3"/>
    <s v="Power China"/>
    <m/>
    <s v="n.a."/>
    <m/>
    <m/>
    <n v="400"/>
    <n v="400"/>
    <m/>
    <s v="Algeria"/>
    <x v="0"/>
    <s v="370MW of solar across 2 farms"/>
    <m/>
    <n v="2025"/>
    <d v="2024-03-01T00:00:00"/>
    <s v="https://www.enerdata.net/publications/daily-energy-news/algeria-unveils-winners-its-2-gw-solar-auction-chinese-firms-dominate.html"/>
    <m/>
    <m/>
  </r>
  <r>
    <x v="3"/>
    <s v="China International Water (CWE) "/>
    <m/>
    <s v="China Nuclear Industry Huaxing Construction (HXCC)"/>
    <m/>
    <m/>
    <n v="780"/>
    <n v="780"/>
    <m/>
    <s v="Algeria"/>
    <x v="0"/>
    <s v="780MW of solar across 5 farms"/>
    <m/>
    <s v="n.a."/>
    <d v="2023-11-01T00:00:00"/>
    <s v="https://www.enerdata.net/publications/daily-energy-news/algeria-unveils-winners-its-2-gw-solar-auction-chinese-firms-dominate.html"/>
    <m/>
    <m/>
  </r>
  <r>
    <x v="3"/>
    <s v="Power China"/>
    <m/>
    <s v="n.a."/>
    <m/>
    <n v="755"/>
    <m/>
    <n v="755"/>
    <m/>
    <s v="UAE"/>
    <x v="5"/>
    <s v="1,500MW solar farm construction"/>
    <m/>
    <n v="2026"/>
    <d v="2024-03-01T00:00:00"/>
    <m/>
    <m/>
    <m/>
  </r>
  <r>
    <x v="3"/>
    <s v="Power China"/>
    <m/>
    <s v="Ayala Corp."/>
    <m/>
    <m/>
    <n v="600"/>
    <n v="600"/>
    <m/>
    <s v="Philippines"/>
    <x v="1"/>
    <s v="584MW solar farm"/>
    <m/>
    <n v="2025"/>
    <d v="2024-01-01T00:00:00"/>
    <m/>
    <m/>
    <m/>
  </r>
  <r>
    <x v="3"/>
    <s v="Power China"/>
    <m/>
    <s v="n.a."/>
    <m/>
    <m/>
    <n v="315"/>
    <n v="315"/>
    <m/>
    <s v="Argentina"/>
    <x v="4"/>
    <s v="315MW solar farm"/>
    <m/>
    <n v="2024"/>
    <d v="2024-01-01T00:00:00"/>
    <m/>
    <m/>
    <m/>
  </r>
  <r>
    <x v="3"/>
    <s v="Power China"/>
    <m/>
    <s v="n.a."/>
    <m/>
    <m/>
    <n v="200"/>
    <n v="200"/>
    <m/>
    <s v="Tanzania"/>
    <x v="0"/>
    <s v="163MW solar farm + 22MW BESS"/>
    <m/>
    <n v="2025"/>
    <d v="2024-07-01T00:00:00"/>
    <m/>
    <m/>
    <m/>
  </r>
  <r>
    <x v="3"/>
    <s v="Power China"/>
    <m/>
    <s v="JA Solar"/>
    <m/>
    <m/>
    <n v="480"/>
    <n v="480"/>
    <s v="Atacama Desert"/>
    <s v="Chile"/>
    <x v="4"/>
    <s v="480MW solar farm"/>
    <m/>
    <n v="2024"/>
    <d v="2024-04-01T00:00:00"/>
    <m/>
    <m/>
    <m/>
  </r>
  <r>
    <x v="3"/>
    <s v="Power China"/>
    <m/>
    <s v="n.a."/>
    <m/>
    <n v="342"/>
    <m/>
    <n v="342"/>
    <s v="Mauriti Solar Complex"/>
    <s v="Brazil"/>
    <x v="4"/>
    <s v="425MW solar farm"/>
    <m/>
    <n v="2025"/>
    <d v="2025-09-01T00:00:00"/>
    <s v="https://en.powerchina.cn/2025-09/15/c_828999.htm"/>
    <m/>
    <m/>
  </r>
  <r>
    <x v="3"/>
    <s v="GD Power"/>
    <m/>
    <s v="MASDAR &amp; KEPCO"/>
    <m/>
    <n v="1100"/>
    <m/>
    <n v="1100"/>
    <s v=" Al Sadawi"/>
    <s v="Saudi Arabia"/>
    <x v="5"/>
    <s v="2GW solar farm"/>
    <m/>
    <n v="2026"/>
    <d v="2025-08-01T00:00:00"/>
    <s v="https://solarquarter.com/2025/04/16/shanghai-electric-joins-masdar-for-saudi-arabias-al-sadawi-solar-project/ "/>
    <m/>
    <m/>
  </r>
  <r>
    <x v="3"/>
    <s v="CEEC"/>
    <m/>
    <s v="ACWA &amp; Aramco"/>
    <m/>
    <m/>
    <n v="2600"/>
    <n v="2600"/>
    <s v="Mecca"/>
    <s v="Saudi Arabia"/>
    <x v="5"/>
    <s v="2,600MW of solar farm"/>
    <m/>
    <n v="2024"/>
    <d v="2024-02-01T00:00:00"/>
    <m/>
    <m/>
    <m/>
  </r>
  <r>
    <x v="3"/>
    <s v="CEEC"/>
    <m/>
    <s v="ACWA &amp; PIF"/>
    <m/>
    <n v="972"/>
    <m/>
    <n v="972"/>
    <s v="Taif"/>
    <s v="Saudi Arabia"/>
    <x v="5"/>
    <s v="2,000MW solar farm construction"/>
    <m/>
    <n v="2026"/>
    <d v="2024-08-01T00:00:00"/>
    <m/>
    <m/>
    <m/>
  </r>
  <r>
    <x v="3"/>
    <s v="CEEC"/>
    <m/>
    <s v="TotalEnergies"/>
    <m/>
    <m/>
    <n v="1000"/>
    <n v="1000"/>
    <s v="Basra"/>
    <s v="Iraq"/>
    <x v="5"/>
    <s v="1,000MW solar farm construction"/>
    <m/>
    <n v="2027"/>
    <d v="2024-08-01T00:00:00"/>
    <m/>
    <m/>
    <m/>
  </r>
  <r>
    <x v="3"/>
    <s v="CEEC"/>
    <m/>
    <s v="n.a."/>
    <m/>
    <n v="870"/>
    <m/>
    <n v="870"/>
    <s v="Bukhara and Kashkadarya"/>
    <s v="Uzbekistan"/>
    <x v="3"/>
    <s v="1,000MW of solar across 2 farms"/>
    <s v="Operation"/>
    <n v="2024"/>
    <d v="2024-07-01T00:00:00"/>
    <s v="https://www.pv-tech.org/ceec-commissions-400mw-of-1gw-uzbekistan-solar-project/#:~:text=Arctech%20has%20supplied%20its%20SkyWings,of%20the%20sun%20in%20unison."/>
    <m/>
    <m/>
  </r>
  <r>
    <x v="3"/>
    <s v="CEEC"/>
    <m/>
    <s v="n.a."/>
    <m/>
    <m/>
    <n v="220"/>
    <n v="220"/>
    <s v="Puerto Peñasco"/>
    <s v="Mexico"/>
    <x v="4"/>
    <s v="220MW solar farm"/>
    <m/>
    <n v="2024"/>
    <d v="2024-07-01T00:00:00"/>
    <m/>
    <m/>
    <m/>
  </r>
  <r>
    <x v="3"/>
    <s v="CEEC"/>
    <m/>
    <s v="ACWA Power"/>
    <m/>
    <m/>
    <n v="200"/>
    <n v="200"/>
    <m/>
    <s v="Egypt"/>
    <x v="0"/>
    <s v="200MW solar farm"/>
    <m/>
    <n v="2025"/>
    <d v="2024-06-01T00:00:00"/>
    <m/>
    <m/>
    <m/>
  </r>
  <r>
    <x v="3"/>
    <s v="CEEC"/>
    <m/>
    <s v="n.a."/>
    <m/>
    <m/>
    <n v="160"/>
    <n v="160"/>
    <m/>
    <s v="Philippines"/>
    <x v="1"/>
    <s v="160MW solar farm"/>
    <m/>
    <n v="2025"/>
    <d v="2023-05-01T00:00:00"/>
    <m/>
    <m/>
    <m/>
  </r>
  <r>
    <x v="4"/>
    <s v="CEEC"/>
    <m/>
    <s v="Kazakhstan Govt."/>
    <m/>
    <n v="320"/>
    <m/>
    <n v="320"/>
    <s v="Sauran District"/>
    <s v="Kazakhstan"/>
    <x v="3"/>
    <s v="300MW solar farm + 90MW/360MWh BESS"/>
    <m/>
    <n v="2026"/>
    <d v="2025-09-01T00:00:00"/>
    <s v="https://www.seetaoe.com/details/248621.html?utm_source=chatgpt.com"/>
    <m/>
    <m/>
  </r>
  <r>
    <x v="3"/>
    <s v="China Three Gorges"/>
    <m/>
    <s v="n.a."/>
    <m/>
    <m/>
    <n v="400"/>
    <n v="400"/>
    <s v="Minas Gerais"/>
    <s v="Brazil"/>
    <x v="4"/>
    <s v="Arinos 412MW solar farm"/>
    <m/>
    <n v="2025"/>
    <d v="2025-01-01T00:00:00"/>
    <s v="https://www.ctg.com.cn/ctgenglish/news_media/news37/2025022413350094568/index.html"/>
    <m/>
    <m/>
  </r>
  <r>
    <x v="3"/>
    <s v="China Three Gorges"/>
    <m/>
    <s v="n.a."/>
    <m/>
    <m/>
    <n v="40"/>
    <n v="40"/>
    <m/>
    <s v="Peru"/>
    <x v="4"/>
    <s v="Arrow 40MW solar farm"/>
    <m/>
    <n v="2024"/>
    <d v="2024-10-01T00:00:00"/>
    <s v="https://www.ctg.com.cn/ctgenglish/news_media/news37/2024110813465078869/index.html"/>
    <m/>
    <m/>
  </r>
  <r>
    <x v="3"/>
    <s v="China Three Gorges"/>
    <m/>
    <s v="n.a."/>
    <m/>
    <n v="446"/>
    <m/>
    <n v="446"/>
    <s v="Murcia"/>
    <s v="Spain"/>
    <x v="2"/>
    <s v="Acquired a 494MW solar farm"/>
    <s v="Operation"/>
    <n v="2024"/>
    <d v="2024-12-01T00:00:00"/>
    <s v="https://renewablesnow.com/news/china-three-gorges-to-buy-494-mw-solar-farm-in-spain-report-1268752/"/>
    <m/>
    <m/>
  </r>
  <r>
    <x v="3"/>
    <s v="SPIC"/>
    <s v="Yes"/>
    <s v="Recurrent Energy (Canadian Solar)"/>
    <m/>
    <n v="555"/>
    <m/>
    <n v="555"/>
    <m/>
    <s v="Brazil"/>
    <x v="4"/>
    <s v="738MW solar across 2 farms "/>
    <s v="Operation"/>
    <n v="2024"/>
    <d v="2024-06-01T00:00:00"/>
    <s v="https://www.forumchinaplp.org.mo/en/economic_trade/view/2722#:~:text=Release%20time%EF%BC%9A2022%2D06%2D,of%20SPIC%20Brasil%2C%20Adriana%20Waltrick."/>
    <m/>
    <m/>
  </r>
  <r>
    <x v="3"/>
    <s v="SPIC"/>
    <s v="Yes"/>
    <s v="YEO Technology (Turkeye)"/>
    <m/>
    <n v="70"/>
    <m/>
    <n v="70"/>
    <m/>
    <s v="Romania"/>
    <x v="2"/>
    <s v="129MW solar across 2 farms "/>
    <s v="Construction"/>
    <n v="2026"/>
    <d v="2024-11-01T00:00:00"/>
    <s v="https://balkangreenenergynews.com/turkish-chinese-joint-venture-to-build-two-pv-plants-in-romania/#:~:text=Igor%20Todorovi%C4%87-,0,power%20plants%20in%20the%20country."/>
    <m/>
    <m/>
  </r>
  <r>
    <x v="3"/>
    <s v="Dongfeng Electric"/>
    <m/>
    <s v="Masdar"/>
    <m/>
    <m/>
    <n v="511"/>
    <n v="511"/>
    <m/>
    <s v="Uzbekistan"/>
    <x v="3"/>
    <s v="511MW solar across 2 farms"/>
    <m/>
    <n v="2024"/>
    <d v="2024-03-01T00:00:00"/>
    <m/>
    <m/>
    <m/>
  </r>
  <r>
    <x v="3"/>
    <s v="China General Nuclear"/>
    <m/>
    <s v="n.a."/>
    <m/>
    <n v="2000"/>
    <m/>
    <n v="2000"/>
    <s v="Oudomxay province"/>
    <s v="Laos"/>
    <x v="1"/>
    <s v="2,000MW of solar &amp; wind across 3 farms"/>
    <s v="Construction"/>
    <n v="2026"/>
    <d v="2025-03-01T00:00:00"/>
    <s v="https://www.seetaoe.com/details/244455.html#:~:text=On%20March%2020th%2C%20CGN%20Energy,needs%20of%2010%20million%20households."/>
    <m/>
    <m/>
  </r>
  <r>
    <x v="3"/>
    <s v="China General Nuclear"/>
    <s v="Yes"/>
    <s v="KONA Holdings"/>
    <m/>
    <n v="70"/>
    <m/>
    <n v="70"/>
    <s v="Tubaste Ferrochrome solar plant"/>
    <s v="South Africa"/>
    <x v="0"/>
    <s v="100MW solar farm"/>
    <s v="Construction"/>
    <n v="2026"/>
    <d v="2025-12-01T00:00:00"/>
    <s v="https://iea.blob.core.windows.net/assets/ab4a7941-6bea-48fd-93b8-33f24fea3338/ChinasOfficialEnergyFinanceinEmergingandDevelopingEconomies.pdf"/>
    <m/>
    <m/>
  </r>
  <r>
    <x v="3"/>
    <s v="United Energy Group"/>
    <m/>
    <s v="Green Profit"/>
    <m/>
    <n v="333.00000000000006"/>
    <m/>
    <n v="333.00000000000006"/>
    <s v="Sofia"/>
    <s v="Bulgaria"/>
    <x v="2"/>
    <s v="250MW solar farm"/>
    <m/>
    <n v="2026"/>
    <d v="2024-03-01T00:00:00"/>
    <m/>
    <m/>
    <m/>
  </r>
  <r>
    <x v="3"/>
    <s v="Jinko Solar"/>
    <m/>
    <s v="EDF &amp; TAQA"/>
    <m/>
    <m/>
    <n v="1500"/>
    <n v="1500"/>
    <s v="Dhafrah "/>
    <s v="UAE"/>
    <x v="5"/>
    <s v="1,500MW solar farm"/>
    <m/>
    <n v="2024"/>
    <d v="2024-08-01T00:00:00"/>
    <m/>
    <m/>
    <m/>
  </r>
  <r>
    <x v="3"/>
    <s v="China Power Eng."/>
    <m/>
    <s v="Tianjin Electric"/>
    <m/>
    <m/>
    <n v="100"/>
    <n v="100"/>
    <s v="Kerouan"/>
    <s v="Tunisia"/>
    <x v="0"/>
    <s v="100MW solar farm"/>
    <m/>
    <n v="2025"/>
    <d v="2024-05-01T00:00:00"/>
    <m/>
    <m/>
    <m/>
  </r>
  <r>
    <x v="3"/>
    <s v="China Harbour"/>
    <m/>
    <s v="Botswana Electricity"/>
    <m/>
    <m/>
    <n v="100"/>
    <n v="100"/>
    <m/>
    <s v="Botswana"/>
    <x v="0"/>
    <s v="100MW solar farm"/>
    <m/>
    <n v="2025"/>
    <d v="2024-07-01T00:00:00"/>
    <m/>
    <m/>
    <m/>
  </r>
  <r>
    <x v="3"/>
    <s v="SPIC"/>
    <m/>
    <s v="EDF Renewables"/>
    <m/>
    <n v="850"/>
    <m/>
    <n v="850"/>
    <m/>
    <s v="Saudi Arabia"/>
    <x v="5"/>
    <s v="won 2 PPA to build 1.4GW of solar"/>
    <m/>
    <s v="n.a."/>
    <d v="2024-12-01T00:00:00"/>
    <s v="https://www.pv-magazine.com/2024/12/06/edf-renewables-spic-win-1-4-gw-of-solar-projects-in-saudi-arabia/?utm_source=dlvr.it&amp;utm_medium=linkedin"/>
    <m/>
    <m/>
  </r>
  <r>
    <x v="3"/>
    <s v="Canadian Solar"/>
    <m/>
    <s v="n.a."/>
    <m/>
    <m/>
    <n v="150"/>
    <n v="150"/>
    <s v="Castilla y León"/>
    <s v="Spain"/>
    <x v="2"/>
    <s v="300MW solar farm"/>
    <m/>
    <n v="2026"/>
    <d v="2024-12-01T00:00:00"/>
    <s v="https://investors.canadiansolar.com/news-releases/news-release-details/recurrent-energy-signs-300-mw-power-purchase-agreement-major-us"/>
    <m/>
    <m/>
  </r>
  <r>
    <x v="3"/>
    <s v="Shanghai Electric"/>
    <m/>
    <s v="YEO Technology (Turkey)"/>
    <m/>
    <n v="73.260000000000005"/>
    <m/>
    <n v="73.260000000000005"/>
    <m/>
    <s v="Romania"/>
    <x v="2"/>
    <s v="129MW solar farm"/>
    <m/>
    <m/>
    <d v="2024-11-01T00:00:00"/>
    <s v="https://balkangreenenergynews.com/turkish-chinese-joint-venture-to-build-two-pv-plants-in-romania/"/>
    <m/>
    <m/>
  </r>
  <r>
    <x v="3"/>
    <s v="Huantai Energy"/>
    <m/>
    <s v="EBRD"/>
    <m/>
    <m/>
    <n v="70"/>
    <n v="70"/>
    <m/>
    <s v="Azerbaijan"/>
    <x v="5"/>
    <s v="100MW solar farm"/>
    <m/>
    <n v="2027"/>
    <d v="2024-11-01T00:00:00"/>
    <s v="https://www.pv-magazine.com/2024/11/21/azerbaijan-awards-100-mw-of-solar-with-lowest-bid-of-0-0354-kwh/#:~:text=Energy%20Conference%202026-,Azerbaijan%20awards%20100%20MW%20of%20solar%20with%20lowest%20bid%20of,November%2021%2C%202024%20Patrick%20Jowett"/>
    <m/>
    <m/>
  </r>
  <r>
    <x v="3"/>
    <s v="PowerChina Resources"/>
    <m/>
    <s v="SOCAR Green"/>
    <m/>
    <m/>
    <n v="100"/>
    <n v="100"/>
    <m/>
    <s v="Azerbaijan"/>
    <x v="5"/>
    <s v="160MW solar farm"/>
    <m/>
    <n v="2028"/>
    <d v="2025-11-01T00:00:00"/>
    <s v="https://www.pv-magazine.com/2025/04/23/azerbaijan-inks-three-solar-agreements-with-chinese-companies/#:~:text=The%20third%20announced%20project%20is,that%20will%20total%20760%20MW."/>
    <m/>
    <m/>
  </r>
  <r>
    <x v="4"/>
    <s v="China Datang"/>
    <m/>
    <s v="SOCAR Green"/>
    <m/>
    <m/>
    <n v="140"/>
    <n v="140"/>
    <s v="Baku"/>
    <s v="Azerbaijan"/>
    <x v="5"/>
    <s v="100MW floating solar farm + 30MW BESS"/>
    <s v="Announced"/>
    <m/>
    <d v="2025-11-01T00:00:00"/>
    <s v="https://interfax.com/newsroom/top-stories/114796/"/>
    <s v="https://www.pv-magazine.com/2025/04/23/azerbaijan-inks-three-solar-agreements-with-chinese-companies/#:~:text=The%20third%20announced%20project%20is,that%20will%20total%20760%20MW."/>
    <m/>
  </r>
  <r>
    <x v="4"/>
    <s v="CEEC"/>
    <m/>
    <s v="Meralco &amp; SPNEC"/>
    <m/>
    <m/>
    <m/>
    <n v="0"/>
    <m/>
    <s v="Philippines"/>
    <x v="1"/>
    <s v="CEEC is EPC for a 4.5GWh BESS"/>
    <m/>
    <n v="2027"/>
    <d v="2024-11-01T00:00:00"/>
    <s v="https://www.pv-magazine-australia.com/2024/11/22/worlds-largest-3-5-gw-terra-solar-project-breaks-ground-in-the-philippines/?utm_source=dlvr.it&amp;utm_medium=linkedin"/>
    <m/>
    <m/>
  </r>
  <r>
    <x v="4"/>
    <s v="China National Nuclear Corp."/>
    <m/>
    <s v="ERA Singapore"/>
    <m/>
    <m/>
    <n v="1000"/>
    <n v="1000"/>
    <s v="Piau Islands"/>
    <s v="Indonesia"/>
    <x v="1"/>
    <s v="900MW Solar +1.2GWh BESS"/>
    <m/>
    <n v="2029"/>
    <d v="2025-10-01T00:00:00"/>
    <s v="https://www.pv-magazine.com/2025/10/28/singapore-china-to-supply-solar-plus-storage-power-from-indonesia/"/>
    <m/>
    <m/>
  </r>
  <r>
    <x v="4"/>
    <s v="Canadian Solar"/>
    <m/>
    <s v="n.a."/>
    <m/>
    <n v="268"/>
    <m/>
    <n v="268"/>
    <m/>
    <s v="Australia"/>
    <x v="6"/>
    <s v="250MW solar farm +600MWh BESS"/>
    <m/>
    <n v="2026"/>
    <d v="2024-11-01T00:00:00"/>
    <m/>
    <m/>
    <m/>
  </r>
  <r>
    <x v="4"/>
    <s v="Jinko Solar"/>
    <m/>
    <s v="n.a."/>
    <m/>
    <m/>
    <n v="640"/>
    <n v="640"/>
    <m/>
    <s v="Australia"/>
    <x v="6"/>
    <s v="400W solar, 400MW-2hr BESS"/>
    <m/>
    <s v="n.a."/>
    <d v="2024-12-01T00:00:00"/>
    <m/>
    <m/>
    <m/>
  </r>
  <r>
    <x v="4"/>
    <s v="Jinko Solar"/>
    <m/>
    <s v="Bright Path Renewables"/>
    <m/>
    <m/>
    <n v="390"/>
    <n v="390"/>
    <s v="Tamworth"/>
    <s v="Australia"/>
    <x v="6"/>
    <s v="134W solar, 360MW-4hr BESS"/>
    <m/>
    <n v="2027"/>
    <d v="2025-09-01T00:00:00"/>
    <s v="https://www.pv-magazine-australia.com/2025/09/24/jinko-secures-federal-green-tick-for-solar-and-battery-project/ "/>
    <m/>
    <m/>
  </r>
  <r>
    <x v="5"/>
    <s v="CSCEC"/>
    <m/>
    <s v="SK Ecoplant Co"/>
    <m/>
    <n v="1900"/>
    <m/>
    <n v="1900"/>
    <m/>
    <s v="Egypt"/>
    <x v="0"/>
    <s v="a 500MW solar and 278MW wind farm"/>
    <m/>
    <n v="2026"/>
    <d v="2024-02-01T00:00:00"/>
    <m/>
    <m/>
    <m/>
  </r>
  <r>
    <x v="6"/>
    <s v="Trinasolar"/>
    <m/>
    <s v="PLN &amp; Sinar Mas"/>
    <m/>
    <n v="100"/>
    <m/>
    <n v="100"/>
    <s v="Kendal SEZ in Central Java"/>
    <s v="Indonesia"/>
    <x v="1"/>
    <s v="1GW modules pa =&gt;3GW pa"/>
    <s v="Operation"/>
    <n v="2025"/>
    <d v="2024-08-01T00:00:00"/>
    <s v="https://www.straitstimes.com/multimedia/graphics/2025/03/china-great-green-march-globe/index.html?shell"/>
    <m/>
    <m/>
  </r>
  <r>
    <x v="6"/>
    <s v="Trinasolar"/>
    <m/>
    <s v="n.a."/>
    <m/>
    <n v="200"/>
    <m/>
    <n v="200"/>
    <s v="Texas,"/>
    <s v="US"/>
    <x v="7"/>
    <s v="5GW modules pa"/>
    <m/>
    <n v="2024"/>
    <d v="2023-11-01T00:00:00"/>
    <m/>
    <m/>
    <m/>
  </r>
  <r>
    <x v="6"/>
    <s v="Trinasolar"/>
    <m/>
    <s v="EU Innovation Fund"/>
    <m/>
    <m/>
    <n v="150"/>
    <n v="150"/>
    <m/>
    <s v="Spain"/>
    <x v="2"/>
    <s v="1.5GW modules pa"/>
    <m/>
    <s v="n.a."/>
    <d v="2024-10-01T00:00:00"/>
    <s v="https://taiyangnews.info/markets/eu-4th-innovation-fund-solar-winners"/>
    <m/>
    <m/>
  </r>
  <r>
    <x v="6"/>
    <s v="Trinasolar"/>
    <m/>
    <s v="KEZAD Group"/>
    <m/>
    <m/>
    <m/>
    <n v="0"/>
    <m/>
    <s v="UAE"/>
    <x v="5"/>
    <s v="5GW cells + Modules pa + 50ktpa"/>
    <m/>
    <n v="2025"/>
    <d v="2023-10-01T00:00:00"/>
    <s v="https://taiyangnews.info/markets/trina-solar-to-make-big-move-to-the-middle-east"/>
    <m/>
    <m/>
  </r>
  <r>
    <x v="6"/>
    <s v="Trinasolar"/>
    <m/>
    <s v="n.a."/>
    <m/>
    <m/>
    <n v="100"/>
    <n v="100"/>
    <m/>
    <s v="Saudi Arabia"/>
    <x v="5"/>
    <s v="3GW pa Solar trackers manufacturing"/>
    <m/>
    <n v="2025"/>
    <d v="2025-02-01T00:00:00"/>
    <s v="https://www.pvtime.org/trinatracker-to-open-manufacturing-plant-in-saudi-arabia-further-advancing-its-localization-strategy/"/>
    <m/>
    <m/>
  </r>
  <r>
    <x v="6"/>
    <s v="JA Solar"/>
    <m/>
    <s v="n.a."/>
    <m/>
    <n v="60"/>
    <m/>
    <n v="60"/>
    <s v="Arizona"/>
    <s v="US"/>
    <x v="7"/>
    <s v="2GW modules pa"/>
    <m/>
    <n v="2024"/>
    <d v="2024-01-01T00:00:00"/>
    <m/>
    <m/>
    <m/>
  </r>
  <r>
    <x v="6"/>
    <s v="JA Solar"/>
    <m/>
    <m/>
    <m/>
    <m/>
    <m/>
    <n v="0"/>
    <m/>
    <m/>
    <x v="8"/>
    <s v="Sold to Corning US for US$22m"/>
    <m/>
    <m/>
    <d v="2025-07-01T00:00:00"/>
    <s v="https://asia.nikkei.com/Business/Energy/Chinese-solar-companies-shrink-US-footprint-as-Trump-cuts-incentives"/>
    <m/>
    <m/>
  </r>
  <r>
    <x v="6"/>
    <s v="JA Solar"/>
    <m/>
    <s v=" UAE's Global South Utilities "/>
    <m/>
    <n v="220"/>
    <m/>
    <n v="220"/>
    <s v="New Alamein City"/>
    <s v="Egypt"/>
    <x v="0"/>
    <s v="2GW cell / 2GW modules pa + BESS"/>
    <m/>
    <s v="n.a."/>
    <d v="2025-09-01T00:00:00"/>
    <s v="https://list.solar/news/ja-solar-launches/"/>
    <m/>
    <m/>
  </r>
  <r>
    <x v="6"/>
    <s v="JA Solar"/>
    <m/>
    <s v="Sohar Free Trade Zone"/>
    <m/>
    <n v="540"/>
    <m/>
    <n v="540"/>
    <s v="Sohar Port"/>
    <s v="Oman"/>
    <x v="5"/>
    <s v="6GW cell / 3GW modules pa"/>
    <m/>
    <n v="2025"/>
    <d v="2025-06-01T00:00:00"/>
    <s v="https://list.solar/news/ja-solar-launches/"/>
    <m/>
    <m/>
  </r>
  <r>
    <x v="6"/>
    <s v="Jinko Solar"/>
    <m/>
    <s v="n.a."/>
    <m/>
    <n v="150"/>
    <m/>
    <n v="150"/>
    <s v="Florida"/>
    <s v="US"/>
    <x v="7"/>
    <s v="2GW modules pa"/>
    <m/>
    <n v="2024"/>
    <d v="2025-07-01T00:00:00"/>
    <m/>
    <m/>
    <m/>
  </r>
  <r>
    <x v="6"/>
    <s v="Jinko Solar"/>
    <m/>
    <s v="RELC &amp; Vision"/>
    <m/>
    <n v="985"/>
    <m/>
    <n v="985"/>
    <m/>
    <s v="Saudi Arabia"/>
    <x v="5"/>
    <s v="10GW cell / 10GW modules pa"/>
    <m/>
    <n v="2026"/>
    <d v="2024-07-01T00:00:00"/>
    <s v="https://www.bloomberg.com/news/articles/2025-05-16/china-s-solar-firms-to-speed-up-global-push-under-tariff-truce?cmpid=BBD051625_GREENDAILY&amp;utm_medium=email&amp;utm_source=newsletter&amp;utm_term=250516&amp;utm_campaign=greendaily"/>
    <m/>
    <m/>
  </r>
  <r>
    <x v="6"/>
    <s v="Jinko Solar"/>
    <m/>
    <s v="n.a."/>
    <m/>
    <n v="1500"/>
    <m/>
    <n v="1500"/>
    <s v="Quảng Ninh"/>
    <s v=" Vietnam"/>
    <x v="1"/>
    <s v="Solar module manufacturing - 4GW pa"/>
    <m/>
    <n v="2023"/>
    <d v="2023-10-01T00:00:00"/>
    <s v="https://vir.com.vn/hainan-drinda-new-energy-enters-vietnam-with-450-million-solar-project-110187.html&amp;link=autochanger"/>
    <m/>
    <m/>
  </r>
  <r>
    <x v="6"/>
    <s v="Canadian Solar"/>
    <m/>
    <s v="n.a."/>
    <m/>
    <n v="250"/>
    <m/>
    <n v="250"/>
    <s v="Mesquite, Texas"/>
    <s v="US"/>
    <x v="7"/>
    <s v="5GW modules pa"/>
    <m/>
    <n v="2025"/>
    <d v="2024-12-01T00:00:00"/>
    <s v="https://investors.canadiansolar.com/news-releases/news-release-details/canadian-solar-announces-us-module-manufacturing-facility"/>
    <m/>
    <m/>
  </r>
  <r>
    <x v="6"/>
    <s v="Canadian Solar"/>
    <m/>
    <s v="n.a."/>
    <m/>
    <n v="800"/>
    <m/>
    <n v="800"/>
    <s v="Jeffersonville, Indiana"/>
    <s v="US"/>
    <x v="7"/>
    <s v="5GW cells pa"/>
    <m/>
    <n v="2025"/>
    <d v="2024-12-01T00:00:00"/>
    <s v="https://investors.canadiansolar.com/static-files/fdc3b1b0-c609-4d9e-9ca8-54619c7e6d40"/>
    <m/>
    <m/>
  </r>
  <r>
    <x v="6"/>
    <s v="Canadian Solar"/>
    <m/>
    <s v="CSI Solar Co"/>
    <m/>
    <n v="250"/>
    <m/>
    <n v="250"/>
    <m/>
    <s v="Ethiopia"/>
    <x v="0"/>
    <s v="Mfg of solar modules and BESS"/>
    <m/>
    <s v="n.a."/>
    <d v="2025-05-01T00:00:00"/>
    <s v="https://www.bloomberg.com/news/articles/2025-05-16/china-s-solar-firms-to-speed-up-global-push-under-tariff-truce?cmpid=BBD051625_GREENDAILY&amp;utm_medium=email&amp;utm_source=newsletter&amp;utm_term=250516&amp;utm_campaign=greendaily"/>
    <m/>
    <m/>
  </r>
  <r>
    <x v="6"/>
    <s v="TCL Zhonghuan"/>
    <m/>
    <s v="RELC &amp; Vision"/>
    <m/>
    <n v="2100"/>
    <m/>
    <n v="2100"/>
    <m/>
    <s v="Saudi Arabia"/>
    <x v="5"/>
    <s v="20GW solar wafers pa"/>
    <m/>
    <s v="n.a."/>
    <d v="2024-07-01T00:00:00"/>
    <m/>
    <m/>
    <m/>
  </r>
  <r>
    <x v="6"/>
    <s v="Flat Glass Group"/>
    <m/>
    <s v="n.a."/>
    <m/>
    <n v="290"/>
    <m/>
    <n v="290"/>
    <s v="Jawa Tengah"/>
    <s v="Indonesia"/>
    <x v="1"/>
    <s v="1Mtpa of flat glass for solar modules"/>
    <s v="Announced"/>
    <n v="2025"/>
    <d v="2023-11-01T00:00:00"/>
    <m/>
    <m/>
    <m/>
  </r>
  <r>
    <x v="6"/>
    <s v="Xinyi Glass Holdings Ltd"/>
    <m/>
    <s v="n.a."/>
    <m/>
    <m/>
    <n v="4600"/>
    <n v="4600"/>
    <s v="Rempang Island"/>
    <s v="Indonesia"/>
    <x v="1"/>
    <s v="quartz sand processing plant - on hold"/>
    <s v="Postponed"/>
    <s v="n.a."/>
    <d v="2023-07-01T00:00:00"/>
    <s v="https://www.reuters.com/article/legal/government/chinas-xinyi-to-invest-115-billion-in-indonesia-factory-indonesian-minister-idUSL4N39E2UZ/"/>
    <m/>
    <m/>
  </r>
  <r>
    <x v="6"/>
    <s v="Xinyi Glass Holdings Ltd"/>
    <m/>
    <s v="n.a."/>
    <m/>
    <n v="700"/>
    <m/>
    <n v="700"/>
    <s v="JIIPE SEZ in Gresik"/>
    <s v="Indonesia"/>
    <x v="1"/>
    <s v="Float glass for solar 600ktpa"/>
    <s v="Operation"/>
    <n v="2024"/>
    <d v="2025-01-01T00:00:00"/>
    <s v="https://www.facebook.com/xinyiglassmirror/videos/on-january-18-2025-xinyi-glasss-industrial-park-in-indonesia-successfully-commen/853220776828988/"/>
    <m/>
    <m/>
  </r>
  <r>
    <x v="6"/>
    <s v="Xinyi Glass Holdings Ltd"/>
    <m/>
    <s v="n.a."/>
    <m/>
    <n v="700"/>
    <m/>
    <n v="700"/>
    <m/>
    <s v="Eygpt"/>
    <x v="0"/>
    <s v="Solar glass manufacturing "/>
    <m/>
    <s v="n.a."/>
    <d v="2025-03-01T00:00:00"/>
    <s v="https://solarabic.com/%D8%A3%D8%AE%D8%A8%D8%A7%D8%B1-%D8%A7%D9%84%D8%B7%D8%A7%D9%82%D8%A9-%D8%A7%D9%84%D9%85%D8%AA%D8%AC%D8%AF%D8%AF%D8%A9/2025/03/%D9%85%D8%B5%D9%86%D8%B9-%D8%B2%D8%AC%D8%A7%D8%AC-%D8%A7%D9%84%D8%A3%D9%84%D9%88%D8%A7%D8%AD-%D8%A7%D9%84%D8%B4%D9%85%D8%B3%D9%8A%D8%A9-%D9%85%D8%B5%D8%B1/"/>
    <m/>
    <m/>
  </r>
  <r>
    <x v="6"/>
    <s v="LONGi"/>
    <m/>
    <s v="Invenergy, US"/>
    <m/>
    <n v="600"/>
    <m/>
    <n v="600"/>
    <s v="Ohio"/>
    <s v="US"/>
    <x v="7"/>
    <s v="5GW modules pa"/>
    <m/>
    <n v="2024"/>
    <d v="2024-09-01T00:00:00"/>
    <s v="https://www.ft.com/content/5a49c5dc-0d65-45d1-ab9a-66d8a7e71b56 "/>
    <m/>
    <m/>
  </r>
  <r>
    <x v="6"/>
    <s v="LONGi"/>
    <m/>
    <s v="n.a."/>
    <m/>
    <m/>
    <n v="500"/>
    <n v="500"/>
    <s v="Serendah"/>
    <s v="Malaysia"/>
    <x v="1"/>
    <s v="9GW modules pa"/>
    <m/>
    <n v="2024"/>
    <d v="2023-10-01T00:00:00"/>
    <m/>
    <m/>
    <m/>
  </r>
  <r>
    <x v="6"/>
    <s v="LONGi"/>
    <m/>
    <s v="Pertamina"/>
    <m/>
    <m/>
    <n v="50"/>
    <n v="50"/>
    <s v="West Java"/>
    <s v="Indonesia"/>
    <x v="1"/>
    <s v="1.4GW solar cells &amp; modules pa"/>
    <m/>
    <n v="2025"/>
    <d v="2025-06-01T00:00:00"/>
    <s v="https://www.pv-tech.org/longi-to-build-1-4gw-bc-solar-module-factory-with-indonesias-pertamina/ "/>
    <m/>
    <m/>
  </r>
  <r>
    <x v="6"/>
    <s v="LONGi"/>
    <m/>
    <s v="n.a."/>
    <m/>
    <m/>
    <n v="20"/>
    <n v="20"/>
    <m/>
    <s v="Nigeria"/>
    <x v="0"/>
    <s v="1GW cells/modules pa"/>
    <m/>
    <m/>
    <d v="2025-10-01T00:00:00"/>
    <s v="https://energy.gov.ng/news-detail.php?slug=nigeria-finalises-partnership-with-the-world-s-largest-solar-panel-production-company-longi-at-its-headquarters-in-china"/>
    <m/>
    <m/>
  </r>
  <r>
    <x v="6"/>
    <s v="Tongwei"/>
    <m/>
    <s v="n.a."/>
    <m/>
    <m/>
    <n v="500"/>
    <n v="500"/>
    <s v="Alabama"/>
    <s v="US"/>
    <x v="7"/>
    <s v="5GW modules pa"/>
    <m/>
    <n v="2023"/>
    <d v="2023-01-01T00:00:00"/>
    <m/>
    <m/>
    <m/>
  </r>
  <r>
    <x v="6"/>
    <s v="Tongwei"/>
    <m/>
    <m/>
    <m/>
    <m/>
    <m/>
    <n v="0"/>
    <m/>
    <s v="Thailand"/>
    <x v="1"/>
    <m/>
    <m/>
    <s v="Progressive"/>
    <m/>
    <m/>
    <m/>
    <m/>
  </r>
  <r>
    <x v="6"/>
    <s v="Tongwei"/>
    <m/>
    <m/>
    <m/>
    <m/>
    <m/>
    <n v="0"/>
    <m/>
    <s v="Turkey"/>
    <x v="2"/>
    <m/>
    <m/>
    <m/>
    <m/>
    <m/>
    <m/>
    <m/>
  </r>
  <r>
    <x v="6"/>
    <s v="Risen Energy"/>
    <m/>
    <s v="n.a."/>
    <m/>
    <m/>
    <n v="400"/>
    <n v="400"/>
    <m/>
    <s v="Malaysia"/>
    <x v="1"/>
    <s v="4GW cell / 4GW modules pa"/>
    <m/>
    <n v="2024"/>
    <d v="2024-05-01T00:00:00"/>
    <s v="https://www.pv-tech.org/risen-energy-to-set-up-us10-2bn-solar-manufacturing-plant-in-malaysia/#:~:text=Risen%20modules%20in%20operation%20at,first%20five%20years%20of%20operation."/>
    <m/>
    <m/>
  </r>
  <r>
    <x v="6"/>
    <s v="GCL"/>
    <m/>
    <s v="n.a."/>
    <m/>
    <m/>
    <m/>
    <n v="0"/>
    <m/>
    <s v="Saudi Arabia"/>
    <x v="5"/>
    <s v="120ktpa polysilicon"/>
    <m/>
    <n v="2025"/>
    <d v="2023-09-01T00:00:00"/>
    <s v="https://taiyangnews.info/business/chinese-polysilicon-company-eyeing-middle-east"/>
    <m/>
    <m/>
  </r>
  <r>
    <x v="6"/>
    <s v="GCL"/>
    <m/>
    <s v="Mubadala Investment"/>
    <m/>
    <m/>
    <m/>
    <n v="0"/>
    <m/>
    <s v="Saudi Arabia"/>
    <x v="5"/>
    <s v="4GW cell / 4GW modules pa"/>
    <m/>
    <n v="2025"/>
    <d v="2024-05-01T00:00:00"/>
    <s v="https://www.pv-tech.org/gcl-polysilicon-middle-east/"/>
    <m/>
    <m/>
  </r>
  <r>
    <x v="6"/>
    <s v="Hongjun New Energy / SoleFiori"/>
    <m/>
    <m/>
    <m/>
    <m/>
    <m/>
    <n v="0"/>
    <m/>
    <s v="Saudi Arabia"/>
    <x v="5"/>
    <s v="6GW HJT solar modules pa"/>
    <m/>
    <s v="n.a."/>
    <d v="2025-09-01T00:00:00"/>
    <s v="https://www.pv-magazine.com/2025/09/29/chinas-solefiori-to-build-6-gw-hjt-solar-module-factory-in-saudi-arabia/"/>
    <m/>
    <m/>
  </r>
  <r>
    <x v="6"/>
    <s v="Ningbo Deye Tech."/>
    <m/>
    <s v="n.a."/>
    <m/>
    <n v="150"/>
    <m/>
    <n v="150"/>
    <m/>
    <s v="Malaysia"/>
    <x v="1"/>
    <s v="Inverter and BESS manufacturing"/>
    <m/>
    <s v="n.a."/>
    <d v="2024-12-01T00:00:00"/>
    <s v="https://www.pv-magazine.com/2024/12/17/chinese-pv-industry-brief-deye-to-build-inverter-factory-in-malaysia/?utm_source=dlvr.it&amp;utm_medium=linkedin"/>
    <m/>
    <m/>
  </r>
  <r>
    <x v="6"/>
    <s v="Yuncheng Solar Technology Group."/>
    <m/>
    <s v="n.a."/>
    <m/>
    <m/>
    <m/>
    <n v="0"/>
    <s v="Batam"/>
    <s v="Indonesia"/>
    <x v="1"/>
    <s v="2.5GW modules pa"/>
    <s v="Operation"/>
    <n v="2025"/>
    <d v="2024-11-01T00:00:00"/>
    <s v="https://www.pv-magazine.com/2024/11/18/thornova-solar-starts-solar-module-production-in-indonesia/"/>
    <m/>
    <m/>
  </r>
  <r>
    <x v="6"/>
    <s v="Hainan Drinda New Energy Technology "/>
    <m/>
    <m/>
    <m/>
    <m/>
    <m/>
    <n v="0"/>
    <s v="Sohar Port"/>
    <s v="Oman"/>
    <x v="5"/>
    <s v="5GW modules pa"/>
    <m/>
    <s v="n.a."/>
    <d v="2024-10-01T00:00:00"/>
    <s v="https://soharportandfreezone.om/en/who-we-are/about-sohar"/>
    <m/>
    <m/>
  </r>
  <r>
    <x v="6"/>
    <s v="Imperial Star Solar"/>
    <m/>
    <s v="n.a."/>
    <m/>
    <m/>
    <m/>
    <n v="0"/>
    <s v="Saysettha, Vientiane,"/>
    <s v="Laos"/>
    <x v="1"/>
    <s v="4GW wafers pa"/>
    <m/>
    <n v="2024"/>
    <d v="2024-03-01T00:00:00"/>
    <s v="https://www.imperialstar.com/post/imperial-star-solar-s-strategic-expansion-launching-a-new-wafer-factory-in-laos-to-complete-our-int"/>
    <m/>
    <m/>
  </r>
  <r>
    <x v="6"/>
    <s v="SolarSpace"/>
    <m/>
    <s v="n.a."/>
    <m/>
    <m/>
    <m/>
    <n v="0"/>
    <m/>
    <s v="Laos"/>
    <x v="1"/>
    <s v="15GW cells &amp; 3GW modules pa"/>
    <m/>
    <s v="2024/25"/>
    <d v="2024-10-01T00:00:00"/>
    <s v="https://taiyangnews.info/opinion/solarspace-promotes-laos-made-cells-us-module-makers-re-2024"/>
    <m/>
    <m/>
  </r>
  <r>
    <x v="6"/>
    <s v="Zhongrun Solar "/>
    <m/>
    <s v="n.a."/>
    <m/>
    <m/>
    <m/>
    <n v="0"/>
    <m/>
    <s v="Laos"/>
    <x v="1"/>
    <s v="5GW solar cell factory"/>
    <m/>
    <n v="2023"/>
    <d v="2023-09-01T00:00:00"/>
    <s v="https://www.thestar.com.my/aseanplus/aseanplus-news/2023/09/26/chinese-company-launches-5gw-high-efficiency-solar-cell-project-in-laos"/>
    <m/>
    <m/>
  </r>
  <r>
    <x v="6"/>
    <s v="China Lesso Group"/>
    <m/>
    <s v="n.a."/>
    <m/>
    <m/>
    <m/>
    <n v="0"/>
    <s v="Jetenglan Industrial Park in Semarang"/>
    <s v="Indonesia"/>
    <x v="1"/>
    <s v="2.4GW solar modules pa"/>
    <s v="Operation"/>
    <n v="2024"/>
    <d v="2023-09-01T00:00:00"/>
    <s v="https://taiyangnews.info/markets/china-solar-pv-news-snippets-94"/>
    <m/>
    <m/>
  </r>
  <r>
    <x v="6"/>
    <s v="DAS Solar"/>
    <m/>
    <s v="n.a."/>
    <m/>
    <n v="115"/>
    <m/>
    <n v="115"/>
    <s v="Mandeure"/>
    <s v="France"/>
    <x v="2"/>
    <s v="3GW modules pa"/>
    <m/>
    <n v="2025"/>
    <d v="2025-05-01T00:00:00"/>
    <s v="https://www.pv-magazine.com/2024/11/19/das-solar-to-build-3-gw-solar-module-factory-in-france/"/>
    <m/>
    <m/>
  </r>
  <r>
    <x v="6"/>
    <s v="DAS Solar"/>
    <m/>
    <s v="n.a."/>
    <m/>
    <n v="721.50000000000011"/>
    <m/>
    <n v="721.50000000000011"/>
    <s v="Mandeure"/>
    <s v="France"/>
    <x v="2"/>
    <s v="5GW Cell pa"/>
    <m/>
    <s v="n.a."/>
    <d v="2025-05-01T00:00:00"/>
    <s v="https://www.pv-magazine.com/2025/04/24/das-solar-plans-3-gw-solar-module-factory-in-france/"/>
    <m/>
    <m/>
  </r>
  <r>
    <x v="6"/>
    <s v="New East Solar"/>
    <m/>
    <s v="n.a."/>
    <m/>
    <m/>
    <m/>
    <n v="0"/>
    <s v="Batam"/>
    <s v="Indonesia"/>
    <x v="1"/>
    <s v="3GW modules pa =&gt; 8GW pa phase 2"/>
    <s v="Operation"/>
    <n v="2023"/>
    <d v="2024-08-01T00:00:00"/>
    <s v="http://www.nesolar.com.kh/?content/176"/>
    <m/>
    <m/>
  </r>
  <r>
    <x v="6"/>
    <s v="CHINT Group Astronergy"/>
    <m/>
    <s v="n.a."/>
    <m/>
    <n v="420"/>
    <m/>
    <n v="420"/>
    <m/>
    <s v="Thailand"/>
    <x v="1"/>
    <s v="5G solar wafers pa"/>
    <m/>
    <n v="2025"/>
    <d v="2024-04-01T00:00:00"/>
    <s v="https://www.pv-magazine.com/press-releases/astronergy-thailand-manufacturing-base-perfects-its-industry-chain-with-wafer-lines/"/>
    <m/>
    <m/>
  </r>
  <r>
    <x v="6"/>
    <s v="CHINT Group Astronergy"/>
    <m/>
    <s v="Alfa Solar of Turkey"/>
    <m/>
    <n v="700"/>
    <m/>
    <n v="700"/>
    <s v="Balıkesir"/>
    <s v="Turkey"/>
    <x v="2"/>
    <s v="Solar wafer &amp; cell manufacturing - 3GW"/>
    <m/>
    <n v="2026"/>
    <d v="2025-04-01T00:00:00"/>
    <s v="https://www.pv-magazine.com/2025/04/02/astronergy-to-build-500-million-solar-cell-factory-in-turkey/"/>
    <m/>
    <m/>
  </r>
  <r>
    <x v="6"/>
    <s v="CHINT Group Astronergy"/>
    <m/>
    <s v="n.a."/>
    <m/>
    <m/>
    <m/>
    <n v="0"/>
    <s v="Adana"/>
    <s v=" Turkey"/>
    <x v="2"/>
    <s v="Solar module manufacturing - 850MW pa"/>
    <m/>
    <n v="2024"/>
    <m/>
    <m/>
    <m/>
    <m/>
  </r>
  <r>
    <x v="6"/>
    <s v="Hainan Drinda New Energy"/>
    <m/>
    <s v="Schmid Pekintas Energy"/>
    <m/>
    <m/>
    <m/>
    <n v="0"/>
    <m/>
    <s v="Turkey"/>
    <x v="2"/>
    <s v="Solar cell manufacturing - 5GW pa"/>
    <m/>
    <m/>
    <d v="2025-06-01T00:00:00"/>
    <s v="https://www.pv-magazine.com/2025/06/09/drinda-schmid-pekintas-to-build-5-gw-solar-cell-plant-in-turkey/"/>
    <m/>
    <m/>
  </r>
  <r>
    <x v="6"/>
    <s v="Hainan Drinda New Energy"/>
    <m/>
    <m/>
    <m/>
    <n v="700"/>
    <m/>
    <n v="700"/>
    <m/>
    <s v="Oman"/>
    <x v="5"/>
    <s v="Solar cell manufacturing - 10GW pa"/>
    <m/>
    <n v="2025"/>
    <d v="2025-06-01T00:00:00"/>
    <s v="https://www.pv-magazine.com/2025/06/09/drinda-schmid-pekintas-to-build-5-gw-solar-cell-plant-in-turkey/"/>
    <m/>
    <m/>
  </r>
  <r>
    <x v="6"/>
    <s v="Hainan Drinda New Energy"/>
    <m/>
    <m/>
    <m/>
    <n v="360"/>
    <m/>
    <n v="360"/>
    <m/>
    <s v="Ethiopia"/>
    <x v="0"/>
    <s v="Solar cell manufacturing "/>
    <m/>
    <m/>
    <d v="2025-05-01T00:00:00"/>
    <s v="https://chinaglobalsouth.com/analysis/china-ethiopia-solar-investments-clean-energy-peace-stability/"/>
    <m/>
    <m/>
  </r>
  <r>
    <x v="6"/>
    <s v="Hainan Drinda New Energy"/>
    <m/>
    <s v="Hoang Thinh Dat JSC"/>
    <m/>
    <n v="450"/>
    <m/>
    <n v="450"/>
    <s v="Nghe An"/>
    <s v="Vietnam"/>
    <x v="1"/>
    <s v="Solar module manufacturing - 14GW"/>
    <m/>
    <m/>
    <d v="2024-03-01T00:00:00"/>
    <s v="https://vir.com.vn/hainan-drinda-new-energy-enters-vietnam-with-450-million-solar-project-110187.html&amp;link=autochanger"/>
    <m/>
    <m/>
  </r>
  <r>
    <x v="6"/>
    <s v="Sunman / Bila Solar"/>
    <m/>
    <s v="n.a."/>
    <m/>
    <m/>
    <m/>
    <n v="0"/>
    <s v="Indiana"/>
    <s v="US"/>
    <x v="7"/>
    <s v="1GW solar module manufacturing"/>
    <m/>
    <n v="2025"/>
    <d v="2025-03-01T00:00:00"/>
    <s v="https://pv-magazine-usa.com/2025/03/28/global-path-leads-to-solar-manufacturing-in-indianapolis/"/>
    <m/>
    <m/>
  </r>
  <r>
    <x v="6"/>
    <s v="Huzhou Zhongdian Solar"/>
    <m/>
    <s v="n.a."/>
    <m/>
    <m/>
    <m/>
    <n v="0"/>
    <s v="Batam Industrial Park"/>
    <s v="Indonesia"/>
    <x v="1"/>
    <s v="solar module manufacturing"/>
    <s v="Operation"/>
    <s v="n.a."/>
    <d v="2025-07-01T00:00:00"/>
    <s v="https://www.bloomberg.com/news/articles/2025-07-25/china-s-stealthy-solar-exports-stay-one-step-ahead-of-us-tariffs?cmpid=BBD072525_GREENDAILY&amp;utm_medium=email&amp;utm_source=newsletter&amp;utm_term=250725&amp;utm_campaign=greendaily "/>
    <m/>
    <m/>
  </r>
  <r>
    <x v="6"/>
    <s v="Sunrev Solar"/>
    <m/>
    <s v="n.a."/>
    <m/>
    <n v="200"/>
    <m/>
    <n v="200"/>
    <m/>
    <s v="Egypt"/>
    <x v="0"/>
    <s v="2GW solar cell and module mfg"/>
    <m/>
    <s v="2H2026"/>
    <d v="2025-06-01T00:00:00"/>
    <s v="https://www.pv-magazine.com/2025/06/23/chinas-sunrev-solar-builds-2-gw-solar-cell-module-factory-in-egypt/"/>
    <m/>
    <m/>
  </r>
  <r>
    <x v="6"/>
    <s v="SoleFiori"/>
    <m/>
    <s v="Saudi Arabia’s Ministry of Industry"/>
    <m/>
    <m/>
    <m/>
    <n v="0"/>
    <m/>
    <s v="Saudi Arabia"/>
    <x v="5"/>
    <s v="6GW HJT modules pa"/>
    <m/>
    <m/>
    <d v="2025-09-01T00:00:00"/>
    <s v="https://www.pv-tech.org/chinas-solefiori-to-build-6gw-hjt-module-factory-in-saudi-arabia/"/>
    <m/>
    <m/>
  </r>
  <r>
    <x v="6"/>
    <s v="Elite Solar"/>
    <m/>
    <s v="n.a."/>
    <m/>
    <m/>
    <m/>
    <n v="0"/>
    <m/>
    <s v="Indonesia"/>
    <x v="1"/>
    <s v="Module manufacturing "/>
    <s v="Operation"/>
    <n v="2025"/>
    <d v="2024-12-01T00:00:00"/>
    <m/>
    <m/>
    <m/>
  </r>
  <r>
    <x v="6"/>
    <s v="Elite Solar"/>
    <m/>
    <s v="n.a."/>
    <m/>
    <n v="150"/>
    <m/>
    <n v="150"/>
    <s v="TEDA Suez Economic &amp; Trade Cooperation Zone"/>
    <s v="Egypt"/>
    <x v="0"/>
    <s v="2GW pa solar cell &amp; 3GW modules manufacturing"/>
    <s v="Operation"/>
    <n v="2025"/>
    <d v="2024-12-01T00:00:00"/>
    <s v="https://renewablesnow.com/news/chinas-elite-solar-breaks-ground-on-2-gw-solar-factory-in-egypt-1268329/"/>
    <s v="https://en.prnasia.com/releases/global/elite-solar-commissions-5gw-integrated-solar-manufacturing-facility-in-egypt-expanding-global-supply-capacity-520129.shtml#:~:text=SUEZ%2C%20Egypt%2C%20Jan.%2024,cell%20and%20module%20production%20lines."/>
    <m/>
  </r>
  <r>
    <x v="6"/>
    <s v="GoodWe"/>
    <m/>
    <m/>
    <m/>
    <m/>
    <m/>
    <n v="0"/>
    <s v="Hai Phong"/>
    <s v="Vietnam"/>
    <x v="1"/>
    <s v="Solar inverters - 5GW pa"/>
    <m/>
    <n v="2024"/>
    <d v="2024-03-01T00:00:00"/>
    <s v="https://en.goodwe.com/goodwe-officially-announces-inauguration-of-first-overseas-manufacturing-base-a-globalization-milestone#:~:text=Daniel%20Huang%20said%2C%20“We%20are,suppliers%20worldwide%20by%20Wood%20Mackenzie."/>
    <m/>
    <m/>
  </r>
  <r>
    <x v="6"/>
    <s v="Growatt"/>
    <m/>
    <m/>
    <m/>
    <n v="10"/>
    <m/>
    <n v="10"/>
    <m/>
    <s v="Vietnam"/>
    <x v="1"/>
    <s v="Solar inverters - 5GW pa"/>
    <m/>
    <n v="2023"/>
    <d v="2023-02-01T00:00:00"/>
    <m/>
    <m/>
    <m/>
  </r>
  <r>
    <x v="7"/>
    <s v="Power China"/>
    <m/>
    <s v="n.a."/>
    <m/>
    <n v="1700"/>
    <m/>
    <n v="1700"/>
    <m/>
    <s v="Uganda"/>
    <x v="0"/>
    <s v="Hydro-electricity - 600MW"/>
    <s v="Operation"/>
    <n v="2024"/>
    <d v="2024-06-01T00:00:00"/>
    <m/>
    <m/>
    <m/>
  </r>
  <r>
    <x v="7"/>
    <s v="Power China"/>
    <m/>
    <s v="n.a."/>
    <m/>
    <n v="3000"/>
    <m/>
    <n v="3000"/>
    <s v="Julius Nyerere"/>
    <s v="Tanzania"/>
    <x v="0"/>
    <s v="Hydro-electricity - 2,115MW"/>
    <m/>
    <n v="2024"/>
    <d v="2025-04-01T00:00:00"/>
    <s v="https://english.news.cn/africa/20250406/3ea12c4b1b6e4fdc9911d2968aeee9c3/c.html"/>
    <m/>
    <m/>
  </r>
  <r>
    <x v="7"/>
    <s v="Power China"/>
    <m/>
    <s v="n.a."/>
    <m/>
    <m/>
    <n v="1670"/>
    <n v="1670"/>
    <s v="Batang Toru Hydropower Plant"/>
    <s v="Indonesia"/>
    <x v="1"/>
    <s v="Hydro-electricity - 510MW - permits cancelled"/>
    <s v="Postponed"/>
    <n v="2026"/>
    <d v="2026-02-01T00:00:00"/>
    <s v="https://www.scmp.com/week-asia/politics/article/3343515/indonesias-us167-billion-china-backed-dam-limbo-why?utm_medium=email&amp;utm_source=cm&amp;utm_campaign=enlz-behind_the_headlines&amp;utm_content=20260220&amp;tpcc=enlz-behind_the_headlines&amp;UUID=9d1a14b6-2ab5-4fe1-a73c-7c57d6428f9b&amp;tc=31"/>
    <m/>
    <m/>
  </r>
  <r>
    <x v="7"/>
    <s v="CEEC"/>
    <m/>
    <s v="China Energy"/>
    <m/>
    <n v="1950"/>
    <m/>
    <n v="1950"/>
    <s v="Khyber Pakhtunkhwa"/>
    <s v="Pakistan"/>
    <x v="3"/>
    <s v="Hydro-electricity - 884MW"/>
    <s v="Operation"/>
    <n v="2025"/>
    <d v="2024-08-01T00:00:00"/>
    <m/>
    <m/>
    <m/>
  </r>
  <r>
    <x v="7"/>
    <s v="CEEC"/>
    <m/>
    <s v="CEXIM"/>
    <s v="Yes"/>
    <m/>
    <n v="1200"/>
    <n v="1200"/>
    <s v="Grand Ethiopian Renaissance dam"/>
    <s v="Ethiopia"/>
    <x v="0"/>
    <s v="Hydro-electricity - 5.15GW, CEXIM finance, plus US$1.2bn grid funding support"/>
    <s v="Operation"/>
    <n v="2025"/>
    <d v="2025-09-01T00:00:00"/>
    <s v="https://www.npr.org/2025/09/09/nx-s1-5534227/ethiopia-dam-sudan-egypt#:~:text=toggle%20caption,%2C%22%20Abiy%20said%20in%20July."/>
    <m/>
    <m/>
  </r>
  <r>
    <x v="7"/>
    <s v="China Three Gorges"/>
    <m/>
    <s v="n.a."/>
    <m/>
    <n v="560"/>
    <m/>
    <n v="560"/>
    <s v="San Gabán III"/>
    <s v="Peru"/>
    <x v="4"/>
    <s v="Hydro-electricity - 209MW"/>
    <s v="Operation"/>
    <n v="2025"/>
    <d v="2025-03-01T00:00:00"/>
    <s v="https://www.theasset.com/article/47391/chinas-ctg-raises-stake-in-peru-hydro-project-to-100"/>
    <m/>
    <m/>
  </r>
  <r>
    <x v="7"/>
    <s v="China Harbour"/>
    <m/>
    <s v="China Energy"/>
    <m/>
    <m/>
    <n v="156"/>
    <n v="156"/>
    <s v="78 MW Sanjen Khola Hydro Project"/>
    <s v="Nepal"/>
    <x v="1"/>
    <s v="Hydro-electricity - 78MW"/>
    <s v="Operation"/>
    <n v="2025"/>
    <d v="2024-08-01T00:00:00"/>
    <m/>
    <m/>
    <m/>
  </r>
  <r>
    <x v="7"/>
    <s v="Sichuan Investment Group"/>
    <s v="Yes"/>
    <s v="Nepal's Butwal Power Co. (20%)"/>
    <s v="China EXIm"/>
    <n v="323"/>
    <m/>
    <n v="323"/>
    <s v="135MW Manang Marsyangdi hydro plant"/>
    <s v="Nepal"/>
    <x v="1"/>
    <s v="Hydro-electricity - 135MW"/>
    <s v="Construction"/>
    <n v="2027"/>
    <d v="2026-01-01T00:00:00"/>
    <s v="https://www.scmp.com/economy/global-economy/article/3341838/china-step-investment-nepals-hydropower-sector-nepalese-official"/>
    <m/>
    <m/>
  </r>
  <r>
    <x v="7"/>
    <s v="Sichuan Investment Group"/>
    <s v="Yes"/>
    <s v="Butwal Power"/>
    <s v="IFC"/>
    <n v="647"/>
    <m/>
    <n v="647"/>
    <s v="327 MW Upper Marsyangdi-2 Hydro Project"/>
    <s v="Nepal"/>
    <x v="1"/>
    <s v="Hydro-electricity - 327MW"/>
    <s v="Announced"/>
    <n v="2032"/>
    <d v="2026-01-01T00:00:00"/>
    <s v="https://www.power-technology.com/marketdata/power-plant-profile-upper-marsyangdi-2-nepal/#:~:text=Description,into%20commercial%20operation%20by%202032."/>
    <m/>
    <m/>
  </r>
  <r>
    <x v="7"/>
    <s v="Sinomach - China National Machinery Industry Corp."/>
    <m/>
    <m/>
    <m/>
    <n v="996"/>
    <m/>
    <n v="996"/>
    <m/>
    <s v="Cambodia"/>
    <x v="1"/>
    <s v="PHS"/>
    <m/>
    <m/>
    <d v="2025-02-01T00:00:00"/>
    <s v="https://www.yicaiglobal.com/news/chinas-sinomach-to-add-usd996-million-hydroelectric-power-station-in-cambodia"/>
    <m/>
    <m/>
  </r>
  <r>
    <x v="7"/>
    <s v="CSCEC"/>
    <m/>
    <s v="n.a."/>
    <m/>
    <m/>
    <m/>
    <n v="0"/>
    <s v="Sounda"/>
    <s v="Congo"/>
    <x v="0"/>
    <s v="Hydro - 800MW suspended"/>
    <s v="Mothballed"/>
    <s v="various"/>
    <d v="2024-10-01T00:00:00"/>
    <s v="https://www.hydroreview.com/hydro-industry-news/new-development/congo-brazzaville-to-build-9-4-billion-hydro-powerhouse-dam/"/>
    <m/>
    <m/>
  </r>
  <r>
    <x v="7"/>
    <s v="China Gezhouba Group Co"/>
    <m/>
    <s v="ICBC / KfW"/>
    <m/>
    <n v="5200"/>
    <m/>
    <n v="5200"/>
    <s v="Kwanza Norte Province"/>
    <s v="Angola"/>
    <x v="0"/>
    <s v="Hydro - 2,172MW "/>
    <s v="Construction"/>
    <n v="2026"/>
    <d v="2023-12-01T00:00:00"/>
    <s v="https://www.powermag.com/major-hydropower-project-moves-forward-in-angola/"/>
    <m/>
    <m/>
  </r>
  <r>
    <x v="7"/>
    <s v="Chinalco (Aluminium Corporation of China)"/>
    <s v="Yes"/>
    <s v="Rio Tinto"/>
    <m/>
    <n v="902"/>
    <m/>
    <n v="902"/>
    <m/>
    <s v="Brazil"/>
    <x v="4"/>
    <s v="Hydro - 23 plants + wind farms to power a refinery"/>
    <s v="M&amp;A"/>
    <n v="2026"/>
    <d v="2026-01-01T00:00:00"/>
    <s v="https://www.afr.com/companies/mining/rio-tinto-partners-with-chinalco-on-1-3b-brazilian-aluminium-deal-20260130-p5nyc6 "/>
    <m/>
    <m/>
  </r>
  <r>
    <x v="8"/>
    <s v="China Southern Power Grid"/>
    <s v="No"/>
    <s v="CEXIM"/>
    <m/>
    <n v="3100"/>
    <m/>
    <n v="3100"/>
    <m/>
    <s v="Peru"/>
    <x v="4"/>
    <s v="Purchase of Peru Grid T&amp;D from Enel"/>
    <s v="Operation"/>
    <n v="2024"/>
    <d v="2024-06-01T00:00:00"/>
    <s v="https://www.enel.com/media/explore/search-press-releases/press/2024/06/enel-finalized-agreement-signed-in-april-2023-relating-to-distribution-assets-in-peru-"/>
    <m/>
    <m/>
  </r>
  <r>
    <x v="8"/>
    <s v="China State Grid"/>
    <m/>
    <s v="n.a."/>
    <m/>
    <n v="925"/>
    <m/>
    <n v="925"/>
    <m/>
    <s v="Philippines"/>
    <x v="1"/>
    <s v="184km subsea cable"/>
    <m/>
    <n v="2023"/>
    <d v="2023-05-01T00:00:00"/>
    <m/>
    <m/>
    <m/>
  </r>
  <r>
    <x v="8"/>
    <s v="China State Grid"/>
    <m/>
    <s v="n.a."/>
    <m/>
    <n v="3300"/>
    <m/>
    <n v="3300"/>
    <m/>
    <s v="Brazil"/>
    <x v="4"/>
    <s v="2*1,500km grid transmission lines"/>
    <m/>
    <n v="2029"/>
    <d v="2025-07-01T00:00:00"/>
    <s v="https://www.worldconstructionnetwork.com/news/state-grid-brazil-holding-construction-electricity-transmission-project/"/>
    <m/>
    <m/>
  </r>
  <r>
    <x v="8"/>
    <s v="China Southern Power Grid"/>
    <m/>
    <s v="EDL-T"/>
    <m/>
    <m/>
    <n v="600"/>
    <n v="600"/>
    <m/>
    <s v="Laos"/>
    <x v="1"/>
    <s v="184km 500kV 1.5GW grid transmission line"/>
    <s v="Operation"/>
    <n v="2026"/>
    <d v="2026-02-01T00:00:00"/>
    <s v="https://kpl.gov.la/EN/detail.aspx?id=89662# "/>
    <s v="https://english.news.cn/20260205/9341481fba214901bc087b30a24a6cfd/c.html#:~:text=5%20(Xinhua)%20%2D%2D%20The%20Chinese,500%2DkV%20power%20interconnection%20project."/>
    <m/>
  </r>
  <r>
    <x v="8"/>
    <s v="China Southern Power Grid"/>
    <s v="Yes"/>
    <s v="Patria Investments Ltd"/>
    <m/>
    <n v="4000"/>
    <m/>
    <n v="4000"/>
    <m/>
    <s v="Chile"/>
    <x v="4"/>
    <s v="Proposed US$4bn acquisition of Transelec SA"/>
    <s v="Announced"/>
    <m/>
    <d v="2025-12-01T00:00:00"/>
    <s v="https://fundacionandresbello.org/en/news/chile-🇨🇱-news/china-southern-power-in-talks-to-acquire-majority-stake-in-chiles-transelec/"/>
    <s v="https://www.bloomberg.com/news/articles/2025-12-12/china-southern-power-s-transelec-talks-are-said-to-face-delays"/>
    <m/>
  </r>
  <r>
    <x v="8"/>
    <s v="Southern Power Grid"/>
    <m/>
    <s v="Chilean partners"/>
    <m/>
    <n v="1500"/>
    <m/>
    <n v="1500"/>
    <m/>
    <s v="Chile"/>
    <x v="4"/>
    <s v="1,342km grid transmission line"/>
    <s v="Announced"/>
    <s v="n.a."/>
    <d v="2025-11-01T00:00:00"/>
    <s v="https://www.bnamericas.com/en/features/permitting-nod-for-us15bn-chile-hvdc-power-line-a-key-milestone"/>
    <m/>
    <m/>
  </r>
  <r>
    <x v="9"/>
    <s v="CATL"/>
    <m/>
    <s v="n.a."/>
    <m/>
    <n v="8103.0000000000009"/>
    <m/>
    <n v="8103.0000000000009"/>
    <s v="Debrecen"/>
    <s v="Hungary"/>
    <x v="2"/>
    <s v="Battery Mfg, 100GWh- Staged"/>
    <s v="Construction"/>
    <s v="1Q2026"/>
    <d v="2025-12-01T00:00:00"/>
    <s v="https://www.ft.com/content/ed88ae58-274c-4d06-a93d-15c93ee550a3"/>
    <m/>
    <m/>
  </r>
  <r>
    <x v="9"/>
    <s v="CATL"/>
    <m/>
    <s v="n.a."/>
    <m/>
    <m/>
    <m/>
    <n v="0"/>
    <s v="Arnstadt"/>
    <s v="Germany"/>
    <x v="2"/>
    <s v="Battery Mfg, 14GWh €1.8bn invested"/>
    <s v="Operation"/>
    <s v="4QCY2022"/>
    <d v="2025-10-01T00:00:00"/>
    <s v="https://www.bloomberg.com/news/features/2025-12-23/ev-battery-giant-catl-s-expansion-plans-face-trump-and-european-pushback?cmpid=BBD122625_CN&amp;utm_campaign=china&amp;utm_medium=email&amp;utm_source=newsletter&amp;utm_term=251226"/>
    <m/>
    <m/>
  </r>
  <r>
    <x v="9"/>
    <s v="CATL"/>
    <m/>
    <s v="Ford"/>
    <m/>
    <m/>
    <m/>
    <n v="0"/>
    <s v="Michigan &amp; Kentucky"/>
    <s v="US"/>
    <x v="7"/>
    <s v="Battery Mfg - technology licence"/>
    <s v="Construction"/>
    <s v="n.a."/>
    <d v="2026-01-01T00:00:00"/>
    <s v="https://www.bloomberg.com/news/articles/2025-12-23/how-ford-and-catl-expanded-partnership-despite-political-minefield?cmpid=BBD122325_GREENDAILY&amp;utm_medium=email&amp;utm_source=newsletter&amp;utm_term=251223&amp;utm_campaign=greendaily"/>
    <s v="https://www.ft.com/content/9ce6ac8b-3c90-4ff0-a68c-d3aed51c2940?emailId=1986fbe3-eb32-44d6-b799-2bdd9c9068c1&amp;segmentId=60a126e8-df3c-b524-c979-f90bde8a67cd "/>
    <m/>
  </r>
  <r>
    <x v="9"/>
    <s v="CATL"/>
    <m/>
    <s v="Tesla"/>
    <m/>
    <m/>
    <m/>
    <n v="0"/>
    <s v="Nevada"/>
    <s v="US"/>
    <x v="7"/>
    <s v="Battery Mfg - technology licence"/>
    <m/>
    <s v="n.a."/>
    <d v="2024-03-01T00:00:00"/>
    <m/>
    <m/>
    <m/>
  </r>
  <r>
    <x v="9"/>
    <s v="CATL"/>
    <m/>
    <s v="GM / TDK"/>
    <m/>
    <m/>
    <m/>
    <n v="0"/>
    <m/>
    <s v="US"/>
    <x v="7"/>
    <s v="Battery Mfg - technology licence"/>
    <m/>
    <s v="n.a."/>
    <d v="2024-08-01T00:00:00"/>
    <m/>
    <m/>
    <m/>
  </r>
  <r>
    <x v="9"/>
    <s v="CATL"/>
    <m/>
    <s v="Antam / IBC"/>
    <m/>
    <n v="6000"/>
    <m/>
    <n v="6000"/>
    <s v="West Java"/>
    <s v="Indonesia"/>
    <x v="1"/>
    <s v="Battery Mfg, 7GWh, then 15GWh"/>
    <m/>
    <n v="2026"/>
    <d v="2025-12-01T00:00:00"/>
    <s v="https://www.mining.com/web/indonesia-forms-1-2-billion-battery-venture-with-chinas-catl/"/>
    <m/>
    <m/>
  </r>
  <r>
    <x v="9"/>
    <s v="CATL"/>
    <s v="Yes"/>
    <s v="Stellantis"/>
    <m/>
    <n v="4551"/>
    <m/>
    <n v="4551"/>
    <s v="Zaragoza"/>
    <s v="Spain"/>
    <x v="2"/>
    <s v="Battery Mfg - 50GWh"/>
    <s v="Construction"/>
    <n v="2026"/>
    <d v="2025-11-01T00:00:00"/>
    <s v="https://www.ft.com/content/b2c41a7d-02fa-4846-ab50-dd27e534dcf5?emailId=5e13ccab-d30c-479a-acf9-568926497a10&amp;segmentId=60a126e8-df3c-b524-c979-f90bde8a67cd"/>
    <s v="https://www.reuters.com/world/china/chinas-catl-breaks-ground-huge-spanish-battery-plant-bringing-its-own-workers-2025-11-26/"/>
    <m/>
  </r>
  <r>
    <x v="9"/>
    <s v="CATL"/>
    <m/>
    <s v="PTT's Arun Plus"/>
    <m/>
    <n v="100"/>
    <m/>
    <n v="100"/>
    <m/>
    <s v="Thailand"/>
    <x v="1"/>
    <s v="Battery Assembly"/>
    <m/>
    <n v="2025"/>
    <d v="2023-06-01T00:00:00"/>
    <s v="https://asia.nikkei.com/spotlight/supply-chain/china-auto-parts-makers-triple-in-thailand-on-ev-battery-rush"/>
    <m/>
    <m/>
  </r>
  <r>
    <x v="9"/>
    <s v="Gotion High-Tech "/>
    <m/>
    <s v="PTT Group"/>
    <m/>
    <m/>
    <n v="100"/>
    <n v="100"/>
    <s v="Rayong"/>
    <s v="Thailand"/>
    <x v="1"/>
    <s v="Battery Mfg, 2GWh; 8GWh phase 2"/>
    <m/>
    <n v="2023"/>
    <d v="2023-12-01T00:00:00"/>
    <s v="https://www.nationthailand.com/business/automobile/40033622"/>
    <m/>
    <m/>
  </r>
  <r>
    <x v="9"/>
    <s v="Gotion High-Tech "/>
    <m/>
    <s v="n.a."/>
    <m/>
    <n v="60"/>
    <m/>
    <n v="60"/>
    <s v="Göttingen"/>
    <s v="Germany"/>
    <x v="2"/>
    <s v="Battery Mfg - 5GWh, multiphase"/>
    <s v="Operation"/>
    <n v="2023"/>
    <d v="2025-07-01T00:00:00"/>
    <s v="https://www.energy-storage.news/gotion-starts-manufacturing-5mwh-bess-in-germany-following-key-certifications/"/>
    <m/>
    <m/>
  </r>
  <r>
    <x v="9"/>
    <s v="Gotion High-Tech "/>
    <s v="Yes"/>
    <s v="VinFast"/>
    <m/>
    <n v="275"/>
    <m/>
    <n v="275"/>
    <s v="Vun  Ang"/>
    <s v="Vietnam"/>
    <x v="1"/>
    <s v="Battery Assembly - 5GWh"/>
    <m/>
    <n v="2025"/>
    <d v="2025-05-01T00:00:00"/>
    <s v="https://www.metal.com/en/newscontent/103089926"/>
    <m/>
    <m/>
  </r>
  <r>
    <x v="9"/>
    <s v="Gotion High-Tech "/>
    <m/>
    <s v="n.a."/>
    <m/>
    <m/>
    <n v="275"/>
    <n v="275"/>
    <s v="Johor"/>
    <s v="Malaysia"/>
    <x v="1"/>
    <s v="Battery Assembly - 6GW pa phase 1"/>
    <m/>
    <m/>
    <d v="2026-01-01T00:00:00"/>
    <s v="https://thesun.my/news/malaysia-news/johor-nears-deal-with-gotion-for-major-battery-plant/"/>
    <m/>
    <m/>
  </r>
  <r>
    <x v="9"/>
    <s v="Gotion High-Tech "/>
    <m/>
    <s v="n.a."/>
    <m/>
    <m/>
    <m/>
    <n v="0"/>
    <s v="Michigan"/>
    <s v="US"/>
    <x v="7"/>
    <s v="Battery Mfg - US$2.3bn"/>
    <s v="Cancelled"/>
    <s v="n.a."/>
    <d v="2025-10-01T00:00:00"/>
    <s v="https://www.mlive.com/news/2025/10/michigan-says-gotion-battery-plant-is-dead-and-seeks-to-claw-back-grant-dollars.html"/>
    <m/>
    <m/>
  </r>
  <r>
    <x v="9"/>
    <s v="Gotion High-Tech "/>
    <m/>
    <s v="n.a."/>
    <m/>
    <n v="2000"/>
    <m/>
    <n v="2000"/>
    <s v="Manteno, Illinois"/>
    <s v="US"/>
    <x v="7"/>
    <s v="Battery Mfg - 40GWh cells, 10GWh packs"/>
    <m/>
    <n v="2024"/>
    <d v="2025-02-01T00:00:00"/>
    <s v="https://techcrunch.com/2025/02/06/tracking-the-ev-battery-factory-construction-boom-across-north-america/"/>
    <m/>
    <m/>
  </r>
  <r>
    <x v="9"/>
    <s v="Gotion High-Tech "/>
    <m/>
    <s v="n.a."/>
    <m/>
    <m/>
    <m/>
    <n v="0"/>
    <s v="Fremont, California"/>
    <s v="US"/>
    <x v="7"/>
    <s v="Battery Mfg - assembly 1GWh pa"/>
    <m/>
    <n v="2024"/>
    <d v="2024-01-01T00:00:00"/>
    <s v="https://www.energy-storage.news/gotions-first-made-in-usa-ess-battery-packs-roll-off-silicon-valley-production-line/"/>
    <m/>
    <m/>
  </r>
  <r>
    <x v="9"/>
    <s v="Gotion High-Tech (80%)"/>
    <s v="Yes"/>
    <s v="InoBat (20%)"/>
    <m/>
    <n v="1290"/>
    <m/>
    <n v="1290"/>
    <s v="Surany"/>
    <s v="Slovakia"/>
    <x v="2"/>
    <s v="Battery Mfg, 20GWh"/>
    <m/>
    <n v="2027"/>
    <d v="2024-06-01T00:00:00"/>
    <s v="https://www.reuters.com/business/autos-transportation/chinas-gotion-partner-inobat-build-slovakia-ev-battery-plant-2024-06-20/"/>
    <m/>
    <m/>
  </r>
  <r>
    <x v="9"/>
    <s v="Gotion High-Tech "/>
    <m/>
    <s v="CDG Group (SOE)"/>
    <m/>
    <n v="6500"/>
    <m/>
    <n v="6500"/>
    <s v="Kenitra Atlantic Free Zone"/>
    <s v="Morocco"/>
    <x v="0"/>
    <s v="Battery Mfg, 100GWh phased"/>
    <s v="Construction"/>
    <s v="2026-onwards"/>
    <d v="2025-09-01T00:00:00"/>
    <s v="https://www.investmentmonitor.ai/news/deal-of-the-week-gotion-high-techs-6-4bn-battery-plant-in-morocco/"/>
    <s v="https://www.ecofinagency.com/news-industry/1609-48731-as-morocco-attracts-a-5-6b-battery-plant-its-coal-fired-grid-faces-a-power-test#:~:text=Gotion%20to%20build%20$5.6B,and%20cathodes%20for%20the%20batteries."/>
    <m/>
  </r>
  <r>
    <x v="9"/>
    <s v="Gotion High-Tech "/>
    <m/>
    <s v="Tata AutoComp"/>
    <m/>
    <m/>
    <n v="300"/>
    <n v="300"/>
    <s v="Pune"/>
    <s v="India"/>
    <x v="1"/>
    <s v="Battery Mfg for BESS, 6GWh"/>
    <m/>
    <n v="2023"/>
    <d v="2023-11-01T00:00:00"/>
    <m/>
    <m/>
    <m/>
  </r>
  <r>
    <x v="9"/>
    <s v="EVE Energy"/>
    <m/>
    <s v="n.a."/>
    <m/>
    <n v="1400"/>
    <m/>
    <n v="1400"/>
    <s v="Debrecen"/>
    <s v="Hungary"/>
    <x v="2"/>
    <s v="Battery Mfg, 28GWh"/>
    <m/>
    <n v="2026"/>
    <d v="2025-12-01T00:00:00"/>
    <s v="https://hungarytoday.hu/green-light-for-eve-powers-battery-factory-in-debrecen/"/>
    <m/>
    <m/>
  </r>
  <r>
    <x v="9"/>
    <s v="EVE Energy"/>
    <m/>
    <s v="Invest Kedah"/>
    <m/>
    <n v="422"/>
    <m/>
    <n v="422"/>
    <s v="Kedah"/>
    <s v="Malaysia"/>
    <x v="1"/>
    <s v="Battery Mfg"/>
    <m/>
    <n v="2025"/>
    <d v="2024-05-01T00:00:00"/>
    <m/>
    <m/>
    <m/>
  </r>
  <r>
    <x v="9"/>
    <s v="EVE Energy"/>
    <m/>
    <s v="Invest Kedah"/>
    <m/>
    <n v="1200"/>
    <m/>
    <n v="1200"/>
    <s v="Kedah"/>
    <s v="Malaysia"/>
    <x v="1"/>
    <s v="Battery Mfg"/>
    <m/>
    <n v="2027"/>
    <d v="2025-07-01T00:00:00"/>
    <s v="https://energynews.biz/eve-energys-1-2b-malaysia-battery-bet-reveals-strategic-shift-amid-global-trade-volatility/#:~:text=As%20geopolitical%20tensions%20increasingly%20reshape,export%20routes%20and%20regionalize%20production"/>
    <m/>
    <m/>
  </r>
  <r>
    <x v="9"/>
    <s v="EVE Energy"/>
    <m/>
    <s v="n.a."/>
    <m/>
    <m/>
    <m/>
    <n v="0"/>
    <s v="Coventry"/>
    <s v="UK"/>
    <x v="2"/>
    <s v="Battery Mfg - delayed"/>
    <s v="Postponed"/>
    <s v="n.a."/>
    <d v="2024-03-01T00:00:00"/>
    <s v="Looks increasingly unlikely: https://www.bbc.com/news/articles/cx2w95rx30wo"/>
    <m/>
    <m/>
  </r>
  <r>
    <x v="9"/>
    <s v="EVE Energy"/>
    <m/>
    <s v="Energy Absolute "/>
    <m/>
    <m/>
    <n v="300"/>
    <n v="300"/>
    <m/>
    <s v="Thailand"/>
    <x v="1"/>
    <s v="Battery Mfg, 6GWh"/>
    <m/>
    <s v="n.a."/>
    <d v="2023-07-01T00:00:00"/>
    <s v="https://cnevpost.com/2023/07/27/eve-energy-to-build-battery-base-thailand/"/>
    <m/>
    <m/>
  </r>
  <r>
    <x v="9"/>
    <s v="EVE Energy"/>
    <m/>
    <s v="Cummins, Paccar"/>
    <m/>
    <n v="2600"/>
    <m/>
    <n v="2600"/>
    <s v="Mississippi"/>
    <s v="US"/>
    <x v="7"/>
    <s v="Battery Mfg for trucks, 21GWh"/>
    <m/>
    <n v="2028"/>
    <d v="2025-10-01T00:00:00"/>
    <s v="https://techcrunch.com/2025/02/06/tracking-the-ev-battery-factory-construction-boom-across-north-america/"/>
    <m/>
    <m/>
  </r>
  <r>
    <x v="9"/>
    <s v="Envision AESC"/>
    <m/>
    <s v="n.a."/>
    <m/>
    <n v="455"/>
    <m/>
    <n v="455"/>
    <s v="Ibaraki "/>
    <s v="Japan"/>
    <x v="1"/>
    <s v="Battery Mfg - 18GWh phased"/>
    <m/>
    <n v="2025"/>
    <d v="2023-05-01T00:00:00"/>
    <s v="https://www.just-auto.com/news/envision-aesc-confirms-ev-battery-plant-in-japan/#:~:text=The%20company%20said%20it%20would%20invest%20JPY50bn,batteries%2C%20enough%20to%20power%20160%2C000%20electric%20vehicles."/>
    <m/>
    <m/>
  </r>
  <r>
    <x v="9"/>
    <s v="Envision AESC"/>
    <m/>
    <s v="n.a."/>
    <m/>
    <n v="500"/>
    <m/>
    <n v="500"/>
    <s v="Smyrna, Tennessee"/>
    <s v="US"/>
    <x v="7"/>
    <s v="Battery Mfg - LFP BESS"/>
    <m/>
    <n v="2025"/>
    <d v="2025-04-01T00:00:00"/>
    <s v="https://us.aesc-group.com/"/>
    <m/>
    <m/>
  </r>
  <r>
    <x v="9"/>
    <s v="Envision AESC"/>
    <m/>
    <s v="n.a."/>
    <m/>
    <m/>
    <m/>
    <n v="0"/>
    <s v="Kentucky"/>
    <s v="US"/>
    <x v="7"/>
    <s v="Battery Mfg, 30GWh - paused US$2bn"/>
    <s v="Mothballed"/>
    <n v="2027"/>
    <d v="2025-06-01T00:00:00"/>
    <s v="https://techcrunch.com/2025/02/06/tracking-the-ev-battery-factory-construction-boom-across-north-america/"/>
    <m/>
    <m/>
  </r>
  <r>
    <x v="9"/>
    <s v="Envision AESC"/>
    <m/>
    <s v="n.a."/>
    <m/>
    <n v="1600"/>
    <m/>
    <n v="1600"/>
    <s v="Florence, South Carolina"/>
    <s v="US"/>
    <x v="7"/>
    <s v="Battery Mfg, 30GWh - Half paused"/>
    <s v="Construction"/>
    <n v="2026"/>
    <d v="2025-12-01T00:00:00"/>
    <s v="https://spectrumlocalnews.com/sc/south-carolina/news/2025/02/05/south-carolina-news-aesc-loses-incentives"/>
    <s v="https://finance.yahoo.com/news/aesc-restarts-clock-construction-1-202611615.html"/>
    <m/>
  </r>
  <r>
    <x v="9"/>
    <s v="Envision AESC"/>
    <s v="No"/>
    <s v="n.a."/>
    <m/>
    <n v="1443.0000000000002"/>
    <m/>
    <n v="1443.0000000000002"/>
    <s v="Douai"/>
    <s v="France"/>
    <x v="2"/>
    <s v="Battery Mfg, 10GWh"/>
    <s v="Operation"/>
    <n v="2025"/>
    <d v="2025-06-01T00:00:00"/>
    <s v="https://battery-tech.net/battery-markets-news/aesc-launches-10gwh-douai-gigafactory-to-power-renault-evs/"/>
    <m/>
    <m/>
  </r>
  <r>
    <x v="9"/>
    <s v="Envision AESC"/>
    <m/>
    <s v="n.a."/>
    <m/>
    <n v="1110"/>
    <m/>
    <n v="1110"/>
    <s v="Cáceres"/>
    <s v="Spain"/>
    <x v="2"/>
    <s v="Battery Mfg"/>
    <m/>
    <n v="2026"/>
    <d v="2024-06-01T00:00:00"/>
    <s v="https://www.aesc-group.com/en/item/668bf854f7fe5a27254fcc59/"/>
    <m/>
    <m/>
  </r>
  <r>
    <x v="9"/>
    <s v="Envision AESC"/>
    <m/>
    <s v="n.a."/>
    <m/>
    <n v="1000"/>
    <m/>
    <n v="1000"/>
    <s v="Sunderland"/>
    <s v="UK"/>
    <x v="2"/>
    <s v="Battery Mfg, 16GWh"/>
    <s v="Operation"/>
    <n v="2025"/>
    <d v="2025-12-01T00:00:00"/>
    <s v="https://www.electrive.com/2024/01/31/ukib-boosts-the-second-british-battery-factory-by-envision-aesc/"/>
    <s v="https://www.mysteel.net/news/5107363-flash-envision-aesc-uk-battery-gigafactory-officially-puts-into-operation"/>
    <m/>
  </r>
  <r>
    <x v="9"/>
    <s v="SVOLT"/>
    <m/>
    <s v="n.a."/>
    <m/>
    <m/>
    <m/>
    <n v="0"/>
    <m/>
    <s v="Finland"/>
    <x v="2"/>
    <s v="Battery Mfg - suspended"/>
    <s v="Mothballed"/>
    <s v="n.a."/>
    <d v="2023-10-01T00:00:00"/>
    <s v="https://cnevpost.com/2024/10/27/svolt-confirms-will-end-operations-europe/"/>
    <m/>
    <m/>
  </r>
  <r>
    <x v="9"/>
    <s v="SVOLT"/>
    <m/>
    <s v="n.a."/>
    <m/>
    <m/>
    <m/>
    <n v="0"/>
    <m/>
    <s v="Germany"/>
    <x v="2"/>
    <s v="Battery Mfg - suspended"/>
    <s v="Mothballed"/>
    <s v="n.a."/>
    <d v="2023-10-01T00:00:00"/>
    <s v="https://cnevpost.com/2024/10/25/svolt-suspends-battery-factory-projects-germany-report/"/>
    <m/>
    <m/>
  </r>
  <r>
    <x v="9"/>
    <s v="SVOLT"/>
    <m/>
    <s v="Banpu Next"/>
    <m/>
    <n v="30"/>
    <m/>
    <n v="30"/>
    <s v="Sriracha Chonburi"/>
    <s v="Thailand"/>
    <x v="1"/>
    <s v="Battery Mfg packs for EV &amp; BESS"/>
    <m/>
    <s v="1Q2024"/>
    <d v="2025-07-01T00:00:00"/>
    <s v="https://cnevpost.com/2023/12/20/svolt-thailand-plant-1st-battery-pack-off-line/"/>
    <m/>
    <m/>
  </r>
  <r>
    <x v="9"/>
    <s v="Sunwoda"/>
    <m/>
    <s v="n.a."/>
    <m/>
    <n v="1500"/>
    <m/>
    <n v="1500"/>
    <s v="Nyiregyhaza"/>
    <s v="Hungary"/>
    <x v="2"/>
    <s v="Battery Mfg - multiple phases"/>
    <m/>
    <n v="2026"/>
    <d v="2025-08-01T00:00:00"/>
    <s v="https://en.people.cn/n3/2023/0728/c90000-20050736.html?utm_source=chatgpt.com"/>
    <m/>
    <m/>
  </r>
  <r>
    <x v="9"/>
    <s v="Sunwoda"/>
    <m/>
    <s v="n.a."/>
    <m/>
    <n v="330"/>
    <m/>
    <n v="330"/>
    <s v="Bac Giang"/>
    <s v="Vietnam"/>
    <x v="1"/>
    <s v="Battery Mfg"/>
    <m/>
    <n v="2026"/>
    <d v="2024-07-01T00:00:00"/>
    <s v="https://theinvestor.vn/chinese-battery-maker-sunwoda-plans-300-mln-additional-investment-in-northern-vietnam-d11246.html#:~:text=Industries-,Chinese%20battery%20maker%20Sunwoda%20plans%20$300%20mln%20additional%20investment%20in,production%20in%20Vietnam%2C%20he%20noted."/>
    <m/>
    <m/>
  </r>
  <r>
    <x v="9"/>
    <s v="Sunwoda"/>
    <m/>
    <s v="n.a."/>
    <m/>
    <n v="1000"/>
    <m/>
    <n v="1000"/>
    <s v="Chonburi Province "/>
    <s v="Thailand"/>
    <x v="1"/>
    <s v="Battery Mfg of cells for EVs &amp; BESS 17GWh"/>
    <m/>
    <s v="n.a."/>
    <d v="2025-03-01T00:00:00"/>
    <s v="https://cnevpost.com/2025/03/13/thailand-approves-sunwoda-investment-ev-battery-cell-plants/"/>
    <m/>
    <m/>
  </r>
  <r>
    <x v="9"/>
    <s v="CALB"/>
    <m/>
    <s v="n.a."/>
    <m/>
    <n v="2220"/>
    <m/>
    <n v="2220"/>
    <s v="Sines Industrial"/>
    <s v="Portugal"/>
    <x v="2"/>
    <s v="Battery Mfg, 15GWh"/>
    <s v="Construction"/>
    <n v="2028"/>
    <d v="2025-07-01T00:00:00"/>
    <s v="https://cnevpost.com/2025/02/25/calb-breaks-ground-battery-plant-portugal/"/>
    <m/>
    <m/>
  </r>
  <r>
    <x v="9"/>
    <s v="CALB"/>
    <m/>
    <s v="n.a."/>
    <m/>
    <m/>
    <m/>
    <n v="0"/>
    <m/>
    <s v="Thailand"/>
    <x v="1"/>
    <s v="Battery pack assembly"/>
    <s v="Operation"/>
    <n v="2025"/>
    <d v="2025-08-01T00:00:00"/>
    <s v="https://www.theglobeandmail.com/investing/markets/markets-news/ACN%20Newswire/34439272/calb-3931-hk-announces-2025-interim-results/#:~:text=At%20the%20same%20time%2C%20CALB,and%20high%2Dperformance%20product%20solutions."/>
    <m/>
    <m/>
  </r>
  <r>
    <x v="9"/>
    <s v="Ganfeng Lithium"/>
    <m/>
    <s v="Yigit Aku"/>
    <m/>
    <n v="500"/>
    <m/>
    <n v="500"/>
    <m/>
    <s v="Turkey"/>
    <x v="2"/>
    <s v="Battery Mfg, 5GWh assembly"/>
    <m/>
    <n v="2026"/>
    <d v="2024-08-01T00:00:00"/>
    <m/>
    <m/>
    <m/>
  </r>
  <r>
    <x v="9"/>
    <s v="Farasis Energy"/>
    <m/>
    <s v="Togg of Turkey"/>
    <m/>
    <n v="2200"/>
    <m/>
    <n v="2200"/>
    <s v="Gemlik"/>
    <s v="Turkey"/>
    <x v="2"/>
    <s v="Battery Mfg, 5GWh assembly, 20GWh multi-phase"/>
    <s v="Operation"/>
    <n v="2023"/>
    <d v="2024-01-01T00:00:00"/>
    <s v="https://www.aa.com.tr/en/economy/turkish-automaker-chinese-battery-firm-sign-562m-loan-deal-with-icbc-turkey/3112677#:~:text=ANKARA,to%20a%20statement%20on%20Thursday."/>
    <m/>
    <m/>
  </r>
  <r>
    <x v="9"/>
    <s v="Junda Shares"/>
    <m/>
    <s v="n.a."/>
    <m/>
    <n v="280"/>
    <m/>
    <n v="280"/>
    <m/>
    <s v="Oman"/>
    <x v="5"/>
    <s v="Battery Mfg, 5GWh"/>
    <m/>
    <s v="n.a."/>
    <d v="2024-07-01T00:00:00"/>
    <m/>
    <m/>
    <m/>
  </r>
  <r>
    <x v="9"/>
    <s v="REPT Battero"/>
    <m/>
    <s v="n.a."/>
    <m/>
    <n v="140"/>
    <m/>
    <n v="140"/>
    <m/>
    <s v="Indonesia"/>
    <x v="1"/>
    <s v="Battery Mfg, 8GWh"/>
    <m/>
    <s v="n.a."/>
    <d v="2025-01-01T00:00:00"/>
    <s v="https://www.ess-news.com/2025/01/15/chinas-rept-battero-to-build-battery-manufacturing-plant-in-indonesia/"/>
    <m/>
    <m/>
  </r>
  <r>
    <x v="9"/>
    <s v="Geely's Volvo"/>
    <m/>
    <s v="NOVO Energy"/>
    <m/>
    <m/>
    <m/>
    <n v="0"/>
    <s v="Gothenburg"/>
    <s v="Sweden"/>
    <x v="2"/>
    <s v="Battery Mfg, 50GWh"/>
    <m/>
    <n v="2026"/>
    <d v="2024-10-01T00:00:00"/>
    <s v="https://www.reuters.com/business/autos-transportation/volvo-cars-buys-northvolts-stake-ev-battery-venture-novo-2025-01-29/"/>
    <m/>
    <m/>
  </r>
  <r>
    <x v="9"/>
    <s v="Geely's Volvo"/>
    <m/>
    <s v="Proterra Inc."/>
    <m/>
    <n v="210"/>
    <m/>
    <n v="210"/>
    <s v="Greer, South Carolina"/>
    <s v="US"/>
    <x v="7"/>
    <s v="Battery Mfg"/>
    <m/>
    <n v="2024"/>
    <d v="2024-02-01T00:00:00"/>
    <s v="https://www.volvogroup.com/en/news-and-media/news/2024/feb/volvo-completes-acquisition-of-battery-business-from-proterra-inc--and-proterra-operating-company.html"/>
    <m/>
    <m/>
  </r>
  <r>
    <x v="9"/>
    <s v="Zhuhai CosMX"/>
    <m/>
    <m/>
    <m/>
    <n v="280"/>
    <m/>
    <n v="280"/>
    <s v="Kulum City"/>
    <s v="Malaysia"/>
    <x v="1"/>
    <s v="Battery Mfg"/>
    <m/>
    <n v="2025"/>
    <d v="2025-01-01T00:00:00"/>
    <s v="https://www.energytrend.com/pricequotes/20250125-49030.html"/>
    <m/>
    <m/>
  </r>
  <r>
    <x v="9"/>
    <s v="KunlunChem"/>
    <m/>
    <s v="n.a."/>
    <m/>
    <n v="102"/>
    <m/>
    <n v="102"/>
    <s v="Szolnok"/>
    <s v="Hungary"/>
    <x v="2"/>
    <s v="Battery Mfg - electrolyte"/>
    <m/>
    <m/>
    <d v="2025-03-01T00:00:00"/>
    <s v="https://hipa.hu/hir/Szolnok-HIPA-beruhazas-KunlumChem/"/>
    <m/>
    <m/>
  </r>
  <r>
    <x v="9"/>
    <s v="Sungrow"/>
    <s v="No"/>
    <s v="n.a."/>
    <m/>
    <m/>
    <n v="200"/>
    <n v="200"/>
    <s v="TEDA zone at El-Sokhna"/>
    <s v="Egypt"/>
    <x v="0"/>
    <s v="Battery Mfg - 10GWh"/>
    <s v="Announced"/>
    <n v="2027"/>
    <d v="2026-01-01T00:00:00"/>
    <s v="https://www.saurenergy.com/solar-energy-news/egypt-signs-usd-18-billion-deals-with-scatec-and-sungrow-for-major-solar-and-battery-projects-10990473"/>
    <s v="https://en.cnesa.org/latest-news/2026/1/13/sunglow-energys-first-energy-storage-plant-in-the-middle-east-launchedwith-an-annual-capacity-of-10-gwh#:~:text=On%20the%20manufacturing%20side%2C%20Sungrow,to%20begin%20in%20April%202027."/>
    <m/>
  </r>
  <r>
    <x v="9"/>
    <s v="Morlus"/>
    <m/>
    <s v="Elinor of Norway"/>
    <m/>
    <m/>
    <m/>
    <n v="0"/>
    <m/>
    <s v="Norway"/>
    <x v="2"/>
    <s v="Battery Mfg"/>
    <m/>
    <s v="n.a."/>
    <d v="2025-03-01T00:00:00"/>
    <s v="https://www.linkedin.com/posts/mlkubik_batteries-energystorage-renewables-activity-7306258597649219585-uAL4?utm_source=share&amp;utm_medium=member_desktop&amp;rcm=ACoAAAK_xL4BN5TFIx7F-X4g0YfwtHJ1QLTvZoQ"/>
    <m/>
    <m/>
  </r>
  <r>
    <x v="9"/>
    <s v="LONGi"/>
    <m/>
    <s v="LotisEdge "/>
    <m/>
    <m/>
    <n v="500"/>
    <n v="500"/>
    <m/>
    <s v="Canada"/>
    <x v="7"/>
    <s v="Battery Mfg - acquired 62%"/>
    <m/>
    <n v="2025"/>
    <d v="2025-11-01T00:00:00"/>
    <s v="https://www.pv-magazine.com/2025/11/17/a-late-but-decisive-move-to-ess-longi-takes-majority-control-of-potisedge/"/>
    <m/>
    <m/>
  </r>
  <r>
    <x v="9"/>
    <s v="Xiamen Hithium Energy Storage Technology"/>
    <m/>
    <s v="n.a."/>
    <m/>
    <n v="200"/>
    <m/>
    <n v="200"/>
    <s v="Mesquite, Texas"/>
    <s v="US"/>
    <x v="7"/>
    <s v="Battery Mfg for BESS, 10GWh"/>
    <s v="Operation"/>
    <n v="2025"/>
    <d v="2025-09-01T00:00:00"/>
    <s v="https://www.energy-storage.news/chinese-battery-manufacturer-hithium-ships-first-units-from-texas-bess-assembly-plant/#:~:text=Hithium%20announced%20the%20new%20production,had%20doubled%20by%20its%20opening."/>
    <m/>
    <m/>
  </r>
  <r>
    <x v="9"/>
    <s v="Xiamen Hithium Energy Storage Technology"/>
    <m/>
    <s v="Manat"/>
    <m/>
    <m/>
    <m/>
    <n v="0"/>
    <m/>
    <s v="Saudi Arabia"/>
    <x v="5"/>
    <s v="Battery Mfg, 5GWh"/>
    <m/>
    <m/>
    <d v="2024-10-01T00:00:00"/>
    <s v="https://renewablesnow.com/news/hithium-forms-saudi-arabian-jv-with-plans-for-5-gwh-battery-factory-871518/"/>
    <m/>
    <m/>
  </r>
  <r>
    <x v="9"/>
    <s v="Canadian Solar"/>
    <m/>
    <s v="n.a."/>
    <m/>
    <n v="700"/>
    <m/>
    <n v="700"/>
    <s v="Shelbyville, Kentucky"/>
    <s v="US"/>
    <x v="7"/>
    <s v="Battery cell and BESS mfg"/>
    <m/>
    <n v="2026"/>
    <d v="2024-11-01T00:00:00"/>
    <s v="https://www.energy-storage.news/canadian-solar-to-manufacture-bess-and-cells-at-kentucky-plant-after-enervenue-backs-out/"/>
    <m/>
    <m/>
  </r>
  <r>
    <x v="10"/>
    <s v="Shanghai Shanshan"/>
    <m/>
    <s v="Imerys France"/>
    <m/>
    <n v="1350"/>
    <m/>
    <n v="1350"/>
    <s v="Vassa"/>
    <s v="Finland"/>
    <x v="2"/>
    <s v="Graphite anodes, 100,000tpa"/>
    <s v="Postponed"/>
    <n v="2026"/>
    <d v="2023-10-01T00:00:00"/>
    <s v="https://battery-tech.net/battery-markets-news/imerys-and-shanshan-to-build-graphite-anode-plant-in-europe/#:~:text=Imerys%20Graphite%20&amp;%20Carbon%20Switzerland%20and,EV%20and%20energy%20storage%20markets."/>
    <s v="https://www.yicaiglobal.com/news/chinese-shipping-tycoon-takes-over-battery-materials-giant-shanshan-amid-court-led-restructuring/#:~:text=Chinese%20Shipping%20Tycoon%20Takes%20Over,away%20unexpectedly%20in%20early%202023."/>
    <m/>
  </r>
  <r>
    <x v="10"/>
    <s v="Shanghai Putailai"/>
    <m/>
    <s v="n.a."/>
    <m/>
    <m/>
    <m/>
    <n v="0"/>
    <s v="Sundsvall"/>
    <s v="Sweden"/>
    <x v="2"/>
    <s v="Graphite anodes, 100,000tpa ($1.4bn)"/>
    <s v="Cancelled"/>
    <s v="n.a."/>
    <d v="2023-05-01T00:00:00"/>
    <s v="https://battery-news.de/en/2025/03/11/ptl-cancels-anode-factory-in-sweden/#:~:text=Chinese%20company%20Shanghai%20Putailai%20(PTL,in%20parts%20with%20another%20company."/>
    <s v="https://www.bloomberg.com/news/features/2025-07-22/us-tariffs-drive-europe-to-rethink-its-china-trade-relationship "/>
    <m/>
  </r>
  <r>
    <x v="10"/>
    <s v="Zhejiang Huayou Cobalt"/>
    <m/>
    <s v="n.a."/>
    <m/>
    <n v="1554.0000000000002"/>
    <m/>
    <n v="1554.0000000000002"/>
    <s v="Acs"/>
    <s v="Hungary"/>
    <x v="2"/>
    <s v="Cathodes, 100,000tpa phased"/>
    <m/>
    <n v="2026"/>
    <d v="2025-12-01T00:00:00"/>
    <s v="https://www.yicaiglobal.com/news/chinas-huayou-cobalt-gains-after-hungarian-plant-lands-another-big-battery-materials-order"/>
    <m/>
    <m/>
  </r>
  <r>
    <x v="10"/>
    <s v="Zhejiang Huayou Cobalt"/>
    <m/>
    <s v="Antam / IBC"/>
    <m/>
    <n v="8400"/>
    <m/>
    <n v="8400"/>
    <m/>
    <s v="Indonesia"/>
    <x v="1"/>
    <s v="Nickel value chain"/>
    <m/>
    <m/>
    <d v="2025-04-01T00:00:00"/>
    <s v="https://www.reuters.com/technology/chinas-huayou-replace-lges-indonesian-ev-battery-project-minister-says-2025-04-23/"/>
    <m/>
    <m/>
  </r>
  <r>
    <x v="10"/>
    <s v="Zhejiang Huayou Cobalt"/>
    <m/>
    <s v="Sulawesi Nickel Cobalt"/>
    <m/>
    <n v="1800"/>
    <m/>
    <n v="1800"/>
    <s v="Sulawesi"/>
    <s v="Indonesia "/>
    <x v="1"/>
    <s v="MHP - 90,000tpa"/>
    <m/>
    <n v="2026"/>
    <d v="2025-02-01T00:00:00"/>
    <s v="https://constructionreviewonline.com/news/merdeka-battery-locks-in-1-8b-for-indonesian-hpal-facility/"/>
    <m/>
    <m/>
  </r>
  <r>
    <x v="10"/>
    <s v="Zhejiang Huayou Cobalt"/>
    <m/>
    <m/>
    <m/>
    <n v="400"/>
    <m/>
    <n v="400"/>
    <m/>
    <s v="Zimbabwe"/>
    <x v="4"/>
    <s v="Lithium sulphate - 50,000tpa"/>
    <m/>
    <s v="1Q2026"/>
    <d v="2025-10-01T00:00:00"/>
    <s v="https://www.reuters.com/world/africa/huayou-start-zimbabwe-lithium-sulphate-production-early-2026-2025-10-17/"/>
    <m/>
    <m/>
  </r>
  <r>
    <x v="10"/>
    <s v="Zhejiang Huayou Cobalt"/>
    <s v="Yes"/>
    <s v="EVE Energy / Daaz Bara"/>
    <s v="Yes"/>
    <n v="6000"/>
    <m/>
    <n v="6000"/>
    <s v="West Java"/>
    <s v="Indonesia"/>
    <x v="1"/>
    <s v="Integrated battery plant - 20GWh"/>
    <s v="Announced"/>
    <s v="n.a."/>
    <d v="2026-02-01T00:00:00"/>
    <s v="https://www.yicaiglobal.com/news/chinas-huayou-cobalt-falls-after-indonesian-jv-agrees-to-build-nev-battery-supply-chain-with-local-soes?utm_source=volta_newsletter&amp;utm_medium=linkedin&amp;utm_campaign=volta_newsletter_20260206"/>
    <s v="https://autonews.gasgoo.com/articles/ev/eve-energy-deepens-southeast-asia-push-with-indonesia-battery-ecosystem-pact-2018569023271051265?utm_source=volta_newsletter&amp;utm_medium=linkedin&amp;utm_campaign=volta_newsletter_20260206"/>
    <m/>
  </r>
  <r>
    <x v="10"/>
    <s v="BYD"/>
    <m/>
    <s v="n.a."/>
    <m/>
    <m/>
    <m/>
    <n v="0"/>
    <m/>
    <s v="Chile"/>
    <x v="4"/>
    <s v="Cathodes, 50,000tpa - cancelled 2025"/>
    <s v="Cancelled"/>
    <s v="n.a."/>
    <d v="2024-08-01T00:00:00"/>
    <s v="https://www.bloomberg.com/news/articles/2025-05-07/byd-tsingshan-drop-chile-lithium-processing-projects-after-rout"/>
    <m/>
    <m/>
  </r>
  <r>
    <x v="10"/>
    <s v="Gotion High-Tech "/>
    <m/>
    <s v="Anugrah Neo Mat."/>
    <m/>
    <n v="1800"/>
    <m/>
    <n v="1800"/>
    <s v="Sulawesi"/>
    <s v="Indonesia"/>
    <x v="1"/>
    <s v="HPAL MHP, 120,000tpa"/>
    <m/>
    <s v="n.a."/>
    <d v="2025-11-01T00:00:00"/>
    <s v="https://source.benchmarkminerals.com/article/chinas-gotion-follows-catl-playbook-with-nickel-investment"/>
    <m/>
    <m/>
  </r>
  <r>
    <x v="10"/>
    <s v="Sinomine Resource Group "/>
    <m/>
    <m/>
    <m/>
    <n v="500"/>
    <m/>
    <n v="500"/>
    <m/>
    <s v="Zimbabwe"/>
    <x v="0"/>
    <s v="Lithium sulphate - 50,000tpa"/>
    <m/>
    <n v="2026"/>
    <d v="2024-09-01T00:00:00"/>
    <s v="https://www.mining.com/web/sinomine-says-it-will-build-lithium-sulfate-plant-in-zimbabwe/"/>
    <m/>
    <m/>
  </r>
  <r>
    <x v="10"/>
    <s v="BTR New Material"/>
    <m/>
    <s v="Tsingshan"/>
    <m/>
    <n v="478"/>
    <m/>
    <n v="478"/>
    <s v="Sulawesi"/>
    <s v="Indonesia"/>
    <x v="1"/>
    <s v="Anodes, 80,000tpa"/>
    <m/>
    <n v="2024"/>
    <d v="2024-08-01T00:00:00"/>
    <s v="https://www.btrchina.com/en/news/info.aspx?itemid=1243"/>
    <m/>
    <m/>
  </r>
  <r>
    <x v="10"/>
    <s v="BTR New Material"/>
    <m/>
    <s v="Tsingshan"/>
    <m/>
    <n v="299"/>
    <m/>
    <n v="299"/>
    <s v="Sulawesi"/>
    <s v="Indonesia"/>
    <x v="1"/>
    <s v="Anodes, 80,000tpa - phase 2"/>
    <m/>
    <n v="2026"/>
    <d v="2024-08-01T00:00:00"/>
    <s v="https://www.btrchina.com/en/news/info.aspx?itemid=1243"/>
    <m/>
    <m/>
  </r>
  <r>
    <x v="10"/>
    <s v="BTR New Material"/>
    <m/>
    <s v="n.a."/>
    <m/>
    <n v="497"/>
    <m/>
    <n v="497"/>
    <s v="Tangier"/>
    <s v="Morocco"/>
    <x v="0"/>
    <s v="Cathodes, 50,000tpa"/>
    <s v="Construction"/>
    <n v="2027"/>
    <d v="2024-03-01T00:00:00"/>
    <s v="https://www.reuters.com/business/china-ev-battery-maker-btr-build-cathode-plant-morocco-2024-03-29/#:~:text=March%2029%20(Reuters)%20%2D%20The,Eljechtimi;%20Editing%20by%20Susan%20Fenton"/>
    <m/>
    <m/>
  </r>
  <r>
    <x v="10"/>
    <s v="BTR New Material"/>
    <m/>
    <s v="n.a."/>
    <m/>
    <n v="366"/>
    <m/>
    <n v="366"/>
    <s v="Tangier"/>
    <s v="Morocco"/>
    <x v="0"/>
    <s v="Anodes, 60,000tpa"/>
    <s v="Construction"/>
    <n v="2027"/>
    <d v="2024-08-01T00:00:00"/>
    <s v="https://www.btrchina.com/en/News/info.aspx?itemid=1244"/>
    <m/>
    <m/>
  </r>
  <r>
    <x v="10"/>
    <s v="BTR New Material"/>
    <m/>
    <s v="ASX-listed Evolution Mining"/>
    <m/>
    <n v="3.6"/>
    <m/>
    <n v="3.6"/>
    <m/>
    <s v="Tanzania"/>
    <x v="0"/>
    <s v="Graphite mine proposal"/>
    <m/>
    <s v="n.a."/>
    <d v="2024-03-01T00:00:00"/>
    <s v="https://api.investi.com.au/api/announcements/ev1/7da8a0b3-749.pdf"/>
    <m/>
    <m/>
  </r>
  <r>
    <x v="10"/>
    <s v="Permanent Minerals"/>
    <m/>
    <s v="n.a."/>
    <m/>
    <m/>
    <n v="100"/>
    <n v="100"/>
    <s v="Manyara province"/>
    <s v="Tanzania"/>
    <x v="0"/>
    <s v="Anodes, 100,000tpa *2"/>
    <m/>
    <s v="2024-25"/>
    <d v="2025-09-01T00:00:00"/>
    <s v="https://source.benchmarkminerals.com/article/site-visit-permanent-minerals-highlights-africas-growing-flake-graphite-role"/>
    <m/>
    <m/>
  </r>
  <r>
    <x v="10"/>
    <s v="Zhejiang Hailiang"/>
    <m/>
    <s v="n.a."/>
    <m/>
    <n v="288"/>
    <m/>
    <n v="288"/>
    <s v="Tangier"/>
    <s v="Morocco"/>
    <x v="0"/>
    <s v="Lithium Copper foil mfg for batteries"/>
    <s v="Construction"/>
    <n v="2027"/>
    <d v="2024-05-01T00:00:00"/>
    <s v="https://enterprise.news/climate/en/news/story/ea78e470-8392-487d-a7bf-06ef3e74d954/hailiang-set-to-build-usd-288-mn-ev-battery-parts-plant-in-morocco"/>
    <m/>
    <m/>
  </r>
  <r>
    <x v="10"/>
    <s v="Zhejiang Hailiang"/>
    <m/>
    <s v="n.a."/>
    <m/>
    <n v="850"/>
    <m/>
    <n v="850"/>
    <m/>
    <s v="Indonesia"/>
    <x v="1"/>
    <s v="Lithium Copper foil mfg for batteries"/>
    <m/>
    <s v="2025-27"/>
    <m/>
    <s v="https://www.yicaiglobal.com/news/china-hailiang-to-build-usd849-million-ev-battery-copper-foil-plant-in-indonesia#:~:text=The%20facility%20will%20be%20built,BYD%20in%20the%20second%20quarter."/>
    <m/>
    <m/>
  </r>
  <r>
    <x v="10"/>
    <s v="CNGR Advanced Material"/>
    <s v="Yes"/>
    <s v="investment fund Al Mada"/>
    <m/>
    <n v="2000"/>
    <m/>
    <n v="2000"/>
    <s v="Jorf Lasfar"/>
    <s v="Morocco"/>
    <x v="0"/>
    <s v="pCAM factory - 60ktpa, NCM - 120ktpa"/>
    <s v="Operation"/>
    <s v="2025-27"/>
    <d v="2025-07-01T00:00:00"/>
    <s v="https://enterprise.news/climate/en/news/story/f7f71bc5-5be7-4259-8272-c44591cef9ff/"/>
    <m/>
    <m/>
  </r>
  <r>
    <x v="10"/>
    <s v="CNGR Advanced Material"/>
    <s v="No"/>
    <s v="n.a."/>
    <m/>
    <n v="790"/>
    <m/>
    <n v="790"/>
    <s v="Central Sulawesi, "/>
    <s v="Indonesia"/>
    <x v="1"/>
    <s v="HGNM - 40ktpa + CAM - 20ktpa"/>
    <s v="Announced"/>
    <s v="2025-27"/>
    <d v="2025-04-01T00:00:00"/>
    <s v="https://www.argusmedia.com/en/news-and-insights/latest-market-news/2628091-cngr-s-nni-produces-high-grade-ni-matte-in-indonesia"/>
    <m/>
    <m/>
  </r>
  <r>
    <x v="10"/>
    <s v="CNGR Advanced Material"/>
    <s v="Yes"/>
    <s v="POSCO Future M"/>
    <m/>
    <n v="260"/>
    <m/>
    <n v="260"/>
    <m/>
    <s v="South Korea"/>
    <x v="1"/>
    <s v="pCAM"/>
    <s v="Announced"/>
    <s v="n.a."/>
    <d v="2025-04-01T00:00:00"/>
    <s v="https://www.petromindo.com/news/article/cngr-plans-major-nickel-based-pcam-and-nickel-production-expansion-in-indonesia"/>
    <s v="https://newsroom.posco.com/en/posco-future-m-pursues-the-lfp-cathode-material-business-for-ess/"/>
    <m/>
  </r>
  <r>
    <x v="10"/>
    <s v="CNGR Advanced Material"/>
    <s v="No"/>
    <s v="CNGR Finland"/>
    <m/>
    <m/>
    <m/>
    <n v="0"/>
    <m/>
    <s v="Finland"/>
    <x v="2"/>
    <s v="pCAM, 60,000tpa - cancelled"/>
    <s v="Cancelled"/>
    <s v="n.a."/>
    <d v="2024-02-01T00:00:00"/>
    <s v="https://cngr.fi/en/news/battery-materials-plant-in-hamina-receives-environmental-permit"/>
    <m/>
    <m/>
  </r>
  <r>
    <x v="10"/>
    <s v="Hunan Zhongke Electric Shinzoom"/>
    <m/>
    <s v="n.a."/>
    <m/>
    <m/>
    <m/>
    <n v="0"/>
    <m/>
    <s v="Morocco"/>
    <x v="0"/>
    <s v="Anodes US$460m - postponed"/>
    <s v="Postponed"/>
    <s v="n.a."/>
    <d v="2024-05-01T00:00:00"/>
    <s v="https://www.yicaiglobal.com/news/chinas-zhongke-to-build-lithium-battery-material-plant-in-oman-for-usd11-billion#:~:text=China's%20Zhongke%20to%20Build%20Lithium,the%20Oman%20project%2C%20it%20noted."/>
    <m/>
    <m/>
  </r>
  <r>
    <x v="10"/>
    <s v="Hunan Zhongke Electric Shinzoom"/>
    <m/>
    <s v="n.a."/>
    <m/>
    <n v="1100"/>
    <m/>
    <n v="1100"/>
    <s v="Sohar SEZ"/>
    <s v="Oman"/>
    <x v="5"/>
    <s v="Anodes, 100,000tpa *2"/>
    <m/>
    <n v="2028"/>
    <d v="2025-06-01T00:00:00"/>
    <s v="https://www.itiger.com/news/2541889654"/>
    <m/>
    <m/>
  </r>
  <r>
    <x v="10"/>
    <s v="Tianci Materials Technology"/>
    <m/>
    <s v="n.a."/>
    <m/>
    <n v="280"/>
    <m/>
    <n v="280"/>
    <s v="El Jadida"/>
    <s v="Morocco"/>
    <x v="0"/>
    <s v="electrolyte - 150ktpa"/>
    <s v="Construction"/>
    <s v="n.a."/>
    <d v="2025-06-01T00:00:00"/>
    <s v="https://www.seaisi.org/details/26757?type=news-rooms&amp;utm_source=chatgpt.com"/>
    <m/>
    <m/>
  </r>
  <r>
    <x v="10"/>
    <s v="Tianci Materials Technology"/>
    <m/>
    <s v="n.a."/>
    <m/>
    <n v="200"/>
    <m/>
    <n v="200"/>
    <s v="Baytown, Texas"/>
    <s v="US"/>
    <x v="7"/>
    <s v="electrolyte - 200ktpa"/>
    <s v="Construction"/>
    <s v="n.a."/>
    <d v="2025-11-01T00:00:00"/>
    <s v="https://www.energytrend.com/news/20251125-50463.html"/>
    <m/>
    <m/>
  </r>
  <r>
    <x v="10"/>
    <s v="Hunan Changyuan Lico (China) industrial"/>
    <m/>
    <s v="Axens Group"/>
    <m/>
    <n v="666.00000000000011"/>
    <m/>
    <n v="666.00000000000011"/>
    <m/>
    <s v="France"/>
    <x v="2"/>
    <s v="pCAM factory"/>
    <m/>
    <s v="n.a."/>
    <d v="2024-05-01T00:00:00"/>
    <s v="https://www.axens.net/resources-events/news/at-choose-france-2024-summit-axens-and-hunan-changyuan-lico-announce-joint-venture-project-for-production-cathode-active-materials-in-france"/>
    <m/>
    <m/>
  </r>
  <r>
    <x v="10"/>
    <s v="XTC New Energy"/>
    <m/>
    <s v="Orano"/>
    <m/>
    <m/>
    <n v="0"/>
    <n v="0"/>
    <s v="Dunkirk"/>
    <s v="France"/>
    <x v="2"/>
    <s v="CAM, 20,000tpa"/>
    <s v="Announced"/>
    <s v="2026-2032"/>
    <d v="2024-12-01T00:00:00"/>
    <s v="https://www.orano.group/concertation-orano-xtcnewenergy/fr/le-projet"/>
    <m/>
    <m/>
  </r>
  <r>
    <x v="10"/>
    <s v="XTC New Energy"/>
    <m/>
    <s v="Orano"/>
    <m/>
    <m/>
    <n v="0"/>
    <n v="0"/>
    <s v="Dunkirk"/>
    <s v="France"/>
    <x v="2"/>
    <s v="pCAM, 80,000tpa (€1.5bn)"/>
    <s v="Announced"/>
    <s v="2026-2033"/>
    <d v="2025-12-01T00:00:00"/>
    <s v="https://www.nordfranceinvest.com/news/xtc-orano-one-project-4-activities-around-cathodes-in-hauts-de-france/"/>
    <m/>
    <m/>
  </r>
  <r>
    <x v="10"/>
    <s v="Ningbo Ronbay Technologies "/>
    <m/>
    <s v="n.a."/>
    <m/>
    <n v="1110"/>
    <m/>
    <n v="1110"/>
    <s v="Konin"/>
    <s v="Poland "/>
    <x v="2"/>
    <s v="NCM cathodes, 25,000tpa"/>
    <s v="Construction"/>
    <n v="2026"/>
    <d v="2025-08-01T00:00:00"/>
    <s v="https://news.metal.com/newscontent/102897879"/>
    <s v="https://jebridge.jp/en/2025/08/20/poland-manufacturing-investments/#:~:text=Ronbay%20Technology%20(China)%20%E2%80%93%20Chinese,to%20create%20600%E2%80%93800%20jobs."/>
    <m/>
  </r>
  <r>
    <x v="10"/>
    <s v="Ningbo Ronbay Technologies "/>
    <m/>
    <s v="n.a."/>
    <m/>
    <n v="362"/>
    <m/>
    <n v="362"/>
    <s v="Chungju"/>
    <s v="South Korea"/>
    <x v="1"/>
    <s v="NCM cathodes, 60,000tpa"/>
    <s v="Operation"/>
    <n v="2025"/>
    <d v="2025-01-01T00:00:00"/>
    <s v="https://www.metal.com/en/newscontent/103116350"/>
    <s v="https://www.yicaiglobal.com/news/chinas-ronbay-to-invest-usd362-million-to-build-two-battery-materials-plants-in-south-korea#:~:text=China's%20Ronbay%20to%20Invest%20USD362,owns%20a%2068.2%20percent%20stake."/>
    <m/>
  </r>
  <r>
    <x v="10"/>
    <s v="Hunan Yuneng"/>
    <m/>
    <s v="n.a."/>
    <m/>
    <n v="136"/>
    <m/>
    <n v="136"/>
    <m/>
    <s v="Spain"/>
    <x v="2"/>
    <s v="LFP cathodes, 50,000tpa"/>
    <s v="Announced"/>
    <n v="2027"/>
    <d v="2024-04-01T00:00:00"/>
    <s v="https://laaldaba.es/actualidad/extremadura/la-junta-de-extremadura-firma-un-memorandum-de-entendimiento-con-una-empresa-china-para-desarrollar-una-fabrica-de-catodos-de-litio-en-merida/"/>
    <m/>
    <m/>
  </r>
  <r>
    <x v="10"/>
    <s v="Hunan Yuneng"/>
    <m/>
    <s v="n.a."/>
    <m/>
    <n v="133"/>
    <m/>
    <n v="133"/>
    <m/>
    <s v="Malaysia"/>
    <x v="1"/>
    <s v="LFP cathodes, 90,000tpa"/>
    <s v="Announced"/>
    <n v="2027"/>
    <d v="2025-07-01T00:00:00"/>
    <s v="https://www.energytrend.com/news/20250724-49925.html"/>
    <m/>
    <m/>
  </r>
  <r>
    <x v="10"/>
    <s v="Yunnan Energy New Material Co., Ltd. (SEMCORP)"/>
    <m/>
    <s v="n.a."/>
    <m/>
    <m/>
    <m/>
    <n v="0"/>
    <s v="Debrecen"/>
    <s v="Hungary"/>
    <x v="2"/>
    <s v="Separator films for batteries"/>
    <s v="Operation"/>
    <n v="2020"/>
    <d v="2022-05-01T00:00:00"/>
    <s v="https://hipa.hu/news/semcorp-opens-its-first-production-unit-outside-china-in-hungary/#:~:text=2020.,10.&amp;text=As%20the%20first%20production%20unit,market%20of%20lithium%2Dion%20batteries."/>
    <m/>
    <m/>
  </r>
  <r>
    <x v="10"/>
    <s v="Yunnan Energy New Material Co., Ltd. (SEMCORP)"/>
    <m/>
    <s v="n.a."/>
    <m/>
    <n v="916"/>
    <m/>
    <n v="916"/>
    <s v="Sidney, Ohio"/>
    <s v="US"/>
    <x v="7"/>
    <s v="Separator films for batteries"/>
    <s v="Construction"/>
    <n v="2026"/>
    <d v="2025-04-01T00:00:00"/>
    <s v="https://www.bizjournals.com/dayton/news/2025/04/01/semcorp-expansion-update-phases-complete-sidney.html"/>
    <s v="https://www.reuters.com/business/autos-transportation/semcorp-invest-916-million-make-ev-battery-components-ohio-2022-05-05/#:~:text=May%205%20(Reuters)%20%2D%20Semcorp,Shanghai%20Energy%20New%20Materials%20Technology.)"/>
    <s v="https://www.energytrend.com/news/20220518-28437.html"/>
  </r>
  <r>
    <x v="10"/>
    <s v="Yunnan Energy New Material Co., Ltd. (SEMCORP)"/>
    <m/>
    <s v="n.a."/>
    <m/>
    <m/>
    <n v="200"/>
    <n v="200"/>
    <s v="IMIP"/>
    <s v="Indonesia"/>
    <x v="1"/>
    <s v="Integrated battery plant - 15GWh"/>
    <s v="Construction"/>
    <n v="2026"/>
    <d v="2025-04-01T00:00:00"/>
    <s v="https://www.semcorp.com/Public/Uploads/uploadfile/files/20250610/enjiegufen2024nianniandubaogaoyingwenban.pdf"/>
    <m/>
    <m/>
  </r>
  <r>
    <x v="10"/>
    <s v="Shenzhen Dynamonic"/>
    <m/>
    <s v="ICL Group Israel"/>
    <m/>
    <n v="290"/>
    <m/>
    <n v="290"/>
    <s v="Sallent"/>
    <s v="Spain"/>
    <x v="2"/>
    <s v="pCAM factory"/>
    <m/>
    <s v="n.a."/>
    <d v="2025-01-01T00:00:00"/>
    <s v="https://investors.icl-group.com/reports-news-and-events/press-releases/press-releases-details/2025/ICL-Signs-Strategic-Agreement-with-Dynanonic-to-Produce-Lithium-Iron-Phosphate-for-European-Battery-Market/default.aspx#:~:text=TEL%20AVIV%2C%20Israel%20%26%20SALLENT%2C,(CAM)%20production%20in%20Europe%2C"/>
    <m/>
    <m/>
  </r>
  <r>
    <x v="10"/>
    <s v="Beijing Easpring Material (70%)"/>
    <s v="Yes"/>
    <s v="Finnish Metal Group (30%)"/>
    <m/>
    <n v="888.00000000000011"/>
    <m/>
    <n v="888.00000000000011"/>
    <s v="Kotka"/>
    <s v="Finland"/>
    <x v="2"/>
    <s v="pCAM, 60,000tpa"/>
    <s v="Construction"/>
    <n v="2027"/>
    <d v="2025-12-01T00:00:00"/>
    <s v="https://www.mineralsgroup.fi/topical/news/our-associated-companys-cam-project-environmental-permit-now-legally-valid.html"/>
    <m/>
    <m/>
  </r>
  <r>
    <x v="10"/>
    <s v=" KunlunChem"/>
    <m/>
    <s v="n.a."/>
    <m/>
    <n v="100"/>
    <m/>
    <n v="100"/>
    <s v="Szolnok"/>
    <s v="Hungary"/>
    <x v="2"/>
    <s v="battery electrolyte factory"/>
    <m/>
    <n v="2026"/>
    <d v="2025-03-01T00:00:00"/>
    <s v="https://hungarytoday.hu/chinese-company-picks-hungary-for-its-first-european-factory/"/>
    <m/>
    <m/>
  </r>
  <r>
    <x v="10"/>
    <s v="Jiangsu Lopal Tech"/>
    <m/>
    <s v="n.a."/>
    <m/>
    <m/>
    <m/>
    <n v="0"/>
    <s v="Kendal Industrial Park"/>
    <s v="Indonesia"/>
    <x v="1"/>
    <s v="LFP cathode - 30,000tpa"/>
    <m/>
    <n v="2024"/>
    <d v="2024-04-01T00:00:00"/>
    <s v="https://www.argusmedia.com/en/news-and-insights/latest-market-news/2560463-china-s-lopal-starts-first-indonesian-lfp-battery-plant"/>
    <m/>
    <m/>
  </r>
  <r>
    <x v="10"/>
    <s v="Jiangsu Lopal Tech"/>
    <s v="Yes"/>
    <s v="INA / Aisis Alliance (45%)"/>
    <m/>
    <n v="290"/>
    <m/>
    <n v="290"/>
    <s v="Kendal Industrial Park"/>
    <s v="Indonesia"/>
    <x v="1"/>
    <s v="LFP cathode - 90,000tpa"/>
    <s v="Operation"/>
    <n v="2025"/>
    <d v="2025-06-01T00:00:00"/>
    <s v="https://www.petromindo.com/news/article/lopal-tech-expects-completion-of-second-lithium-production-phase-by-end-of-2025"/>
    <m/>
    <m/>
  </r>
  <r>
    <x v="10"/>
    <s v="GEM Co."/>
    <m/>
    <s v="SK on / Ecopro Materials"/>
    <m/>
    <n v="935"/>
    <m/>
    <n v="935"/>
    <s v="Saemangeum"/>
    <s v="South Korea"/>
    <x v="1"/>
    <s v="NCM pCAM - 50,000tpa"/>
    <m/>
    <n v="2026"/>
    <d v="2025-12-01T00:00:00"/>
    <s v="https://www.kedglobal.com/batteries/newsView/ked202303230027#:~:text=Last%20November%2C%20they%20agreed%20to,Kim%20at%20khk@hankyung.com"/>
    <m/>
    <m/>
  </r>
  <r>
    <x v="10"/>
    <s v="GEM Co."/>
    <m/>
    <s v="Vale Brazil"/>
    <m/>
    <n v="1400"/>
    <m/>
    <n v="1400"/>
    <s v="Central Sulawesi"/>
    <s v="Indonesia"/>
    <x v="1"/>
    <s v="HMP Nickel 60ktpa"/>
    <m/>
    <m/>
    <d v="2025-08-01T00:00:00"/>
    <s v="https://www.canadianminingjournal.com/news/pt-vale-and-chinas-gem-partner-for-us1-4-billion-indonesian-nickel-plant/"/>
    <m/>
    <m/>
  </r>
  <r>
    <x v="10"/>
    <s v="CATL"/>
    <m/>
    <s v="YLB Mining"/>
    <m/>
    <n v="1000"/>
    <m/>
    <n v="1000"/>
    <m/>
    <s v="Bolivia"/>
    <x v="4"/>
    <s v="Lithium carbonate, 35,000tpa"/>
    <m/>
    <s v="2027-2030"/>
    <d v="2025-06-01T00:00:00"/>
    <s v="https://www.reuters.com/markets/commodities/bolivia-says-chinas-cbc-invest-1-billion-lithium-plants-2024-11-26/"/>
    <m/>
    <m/>
  </r>
  <r>
    <x v="10"/>
    <s v="Wanrun New Energy"/>
    <m/>
    <m/>
    <m/>
    <n v="168"/>
    <m/>
    <n v="168"/>
    <s v="South Carolina"/>
    <s v="US"/>
    <x v="7"/>
    <s v="CAM - 50,000tpa "/>
    <m/>
    <m/>
    <d v="2024-09-01T00:00:00"/>
    <s v="https://www.yicaiglobal.com/news/chinas-wanrun-new-energy-soars-on-plan-to-invest-usd168-million-in-battery-material-plant-in-us#:~:text=China's%20Wanrun%20New%20Energy%20Soars,Shiyan%2Dbased%20parent%20firm%20noted."/>
    <m/>
    <m/>
  </r>
  <r>
    <x v="10"/>
    <s v="Shandong Yulong Gold"/>
    <m/>
    <s v="Triton Minerals"/>
    <m/>
    <n v="12"/>
    <m/>
    <n v="12"/>
    <m/>
    <s v="Mozambique"/>
    <x v="0"/>
    <s v="Graphite resources"/>
    <m/>
    <s v="n.a."/>
    <d v="2025-04-01T00:00:00"/>
    <s v="https://tritonminerals.com/wp-content/uploads/2025/05/20250430-Quarterly-Activities-Appendix-5B-Cash-Flow-Report.pdf"/>
    <m/>
    <m/>
  </r>
  <r>
    <x v="10"/>
    <s v="Dynanonic (20%)"/>
    <s v="Yes"/>
    <s v="ICL Group (80%)"/>
    <m/>
    <m/>
    <m/>
    <n v="0"/>
    <s v="Sallent, Catalonia"/>
    <s v="Spain"/>
    <x v="2"/>
    <s v="LFP Cathodes (Euro285m)"/>
    <s v="Cancelled"/>
    <s v="n.a."/>
    <d v="2025-12-01T00:00:00"/>
    <m/>
    <m/>
    <m/>
  </r>
  <r>
    <x v="11"/>
    <s v="Huayou Cobalt (35%)"/>
    <m/>
    <s v="POSCO HY (65%)"/>
    <m/>
    <n v="108"/>
    <m/>
    <n v="108"/>
    <s v="Gwangyang"/>
    <s v="South Korea"/>
    <x v="1"/>
    <s v="Black mass - 10,000tpa "/>
    <m/>
    <n v="2023"/>
    <d v="2023-07-01T00:00:00"/>
    <s v="https://autorecyclingworld.com/huayou-cobalt-building-a-global-circular-economy-through-battery-recycling/#:~:text=Its%20strategic%20significance%20manifests%20across,leadership%20in%20the%20industrial%20chain."/>
    <m/>
    <m/>
  </r>
  <r>
    <x v="12"/>
    <s v="Trinasolar"/>
    <m/>
    <s v="Low Carbon"/>
    <m/>
    <m/>
    <n v="95"/>
    <n v="95"/>
    <m/>
    <s v="UK"/>
    <x v="2"/>
    <s v="BESS - 95MW/190MWh"/>
    <m/>
    <n v="2025"/>
    <d v="2024-02-01T00:00:00"/>
    <m/>
    <m/>
    <m/>
  </r>
  <r>
    <x v="12"/>
    <s v="Trinasolar"/>
    <m/>
    <s v="n.a."/>
    <m/>
    <m/>
    <n v="660"/>
    <n v="660"/>
    <s v="Kemerton, WA "/>
    <s v="Australia"/>
    <x v="6"/>
    <s v="BESS - 660MW/2,640MWh"/>
    <m/>
    <s v="n.a."/>
    <d v="2024-09-01T00:00:00"/>
    <s v="https://reneweconomy.com.au/china-solar-giant-trina-seeks-approval-for-biggest-battery-project-in-australia/"/>
    <m/>
    <m/>
  </r>
  <r>
    <x v="12"/>
    <s v="Trinasolar"/>
    <m/>
    <s v="n.a."/>
    <m/>
    <n v="469"/>
    <m/>
    <n v="469"/>
    <s v="Killawarra, WA "/>
    <s v="Australia"/>
    <x v="6"/>
    <s v="BESS - 660MW/2,640MWh"/>
    <m/>
    <n v="2026"/>
    <d v="2025-09-01T00:00:00"/>
    <s v="https://reneweconomy-com-au.cdn.ampproject.org/c/s/reneweconomy.com.au/chinese-pv-and-storage-giant-trina-wins-rapid-green-light-for-another-big-solar-hybrid-project/amp/"/>
    <m/>
    <m/>
  </r>
  <r>
    <x v="12"/>
    <s v="Sungrow"/>
    <m/>
    <s v="Atlas Renewables"/>
    <m/>
    <m/>
    <n v="200"/>
    <n v="200"/>
    <m/>
    <s v="Chile"/>
    <x v="4"/>
    <s v="BESS - 200MW/880MWh"/>
    <m/>
    <n v="2025"/>
    <d v="2024-06-01T00:00:00"/>
    <m/>
    <m/>
    <m/>
  </r>
  <r>
    <x v="12"/>
    <s v="Canadian Solar"/>
    <m/>
    <s v="Nova Scotia Power"/>
    <m/>
    <m/>
    <n v="150"/>
    <n v="150"/>
    <s v="Nova Scotia"/>
    <s v="Canada"/>
    <x v="7"/>
    <s v="BESS - 150MW/705MWh"/>
    <m/>
    <n v="2026"/>
    <d v="2024-07-01T00:00:00"/>
    <m/>
    <m/>
    <m/>
  </r>
  <r>
    <x v="12"/>
    <s v="Canadian Solar"/>
    <m/>
    <s v="n.a."/>
    <m/>
    <n v="183"/>
    <m/>
    <n v="183"/>
    <s v="Texas"/>
    <s v="US"/>
    <x v="7"/>
    <s v="BESS - 200MWh"/>
    <m/>
    <n v="2025"/>
    <d v="2025-03-01T00:00:00"/>
    <s v="https://www.prnewswire.com/news-releases/recurrent-energy-secures-183-million-in-project-financing-and-tax-equity-for-merchant-storage-project-in-texas-302404122.html"/>
    <m/>
    <m/>
  </r>
  <r>
    <x v="12"/>
    <s v="Envison"/>
    <m/>
    <s v="n.a."/>
    <m/>
    <m/>
    <n v="300"/>
    <n v="300"/>
    <m/>
    <s v="UK"/>
    <x v="2"/>
    <s v="BESS - 300MW/624MWh"/>
    <m/>
    <n v="2026"/>
    <d v="2024-08-01T00:00:00"/>
    <m/>
    <m/>
    <m/>
  </r>
  <r>
    <x v="12"/>
    <s v="CEEC"/>
    <m/>
    <s v="n.a."/>
    <m/>
    <m/>
    <n v="150"/>
    <n v="150"/>
    <m/>
    <s v="Uzbekistan"/>
    <x v="3"/>
    <s v="BESS - 150MW/300MWh"/>
    <m/>
    <n v="2024"/>
    <d v="2024-04-01T00:00:00"/>
    <m/>
    <m/>
    <m/>
  </r>
  <r>
    <x v="12"/>
    <s v="CEEC"/>
    <m/>
    <s v="Ministry of Investment"/>
    <m/>
    <m/>
    <n v="900"/>
    <n v="900"/>
    <m/>
    <s v="Uzbekistan"/>
    <x v="3"/>
    <s v="BESS - 1,800MWh"/>
    <m/>
    <s v="n.a."/>
    <d v="2024-01-01T00:00:00"/>
    <m/>
    <m/>
    <m/>
  </r>
  <r>
    <x v="12"/>
    <s v="Harbin Electric"/>
    <m/>
    <s v="Progresiva, Turkey"/>
    <m/>
    <m/>
    <n v="500"/>
    <n v="500"/>
    <m/>
    <s v="Turkey"/>
    <x v="2"/>
    <s v="BESS - 250MW/1,000MWh"/>
    <m/>
    <s v="n.a."/>
    <d v="2024-02-01T00:00:00"/>
    <m/>
    <m/>
    <m/>
  </r>
  <r>
    <x v="12"/>
    <s v="Shanghai Electric"/>
    <m/>
    <s v="Generali, Italy"/>
    <m/>
    <m/>
    <n v="100"/>
    <n v="100"/>
    <m/>
    <s v="UK"/>
    <x v="2"/>
    <s v="BESS - 100MW/100MWh"/>
    <m/>
    <n v="2024"/>
    <d v="2024-01-01T00:00:00"/>
    <m/>
    <m/>
    <m/>
  </r>
  <r>
    <x v="12"/>
    <s v="BYD"/>
    <m/>
    <s v="Grenergy"/>
    <m/>
    <m/>
    <n v="1500"/>
    <n v="1500"/>
    <m/>
    <s v="Chile"/>
    <x v="4"/>
    <s v="BESS - 3000MWh"/>
    <m/>
    <n v="2025"/>
    <d v="2024-09-01T00:00:00"/>
    <m/>
    <m/>
    <m/>
  </r>
  <r>
    <x v="12"/>
    <s v="Sungrow"/>
    <m/>
    <s v="Penso Power/Luminous "/>
    <m/>
    <m/>
    <n v="600"/>
    <n v="600"/>
    <m/>
    <s v="UK"/>
    <x v="2"/>
    <s v="BESS - 350MW/1,750MWh"/>
    <m/>
    <s v="n.a."/>
    <d v="2024-09-01T00:00:00"/>
    <m/>
    <m/>
    <m/>
  </r>
  <r>
    <x v="12"/>
    <s v="Sungrow"/>
    <m/>
    <s v="Spearmint Energy"/>
    <m/>
    <m/>
    <n v="500"/>
    <n v="500"/>
    <s v="Texas"/>
    <s v="US"/>
    <x v="7"/>
    <s v="BESS - 1,000MWh"/>
    <m/>
    <n v="2026"/>
    <d v="2024-08-01T00:00:00"/>
    <m/>
    <m/>
    <m/>
  </r>
  <r>
    <x v="12"/>
    <s v="Sungrow"/>
    <m/>
    <s v="Algihaz"/>
    <m/>
    <m/>
    <n v="2000"/>
    <n v="2000"/>
    <m/>
    <s v="Saudi Arabia"/>
    <x v="5"/>
    <s v="BESS - 7,800MWh"/>
    <m/>
    <n v="2025"/>
    <d v="2024-07-01T00:00:00"/>
    <m/>
    <m/>
    <m/>
  </r>
  <r>
    <x v="12"/>
    <s v="Hauawei Digital"/>
    <m/>
    <s v="n.a."/>
    <m/>
    <m/>
    <n v="1000"/>
    <n v="1000"/>
    <s v="Red Sea"/>
    <s v="Saudi Arabia"/>
    <x v="5"/>
    <s v="solar 400MW &amp; BESS - 1,000MWh"/>
    <m/>
    <n v="2024"/>
    <d v="2024-09-01T00:00:00"/>
    <s v="https://www.ess-news.com/2024/09/18/huawei-unveils-worlds-largest-microgrid-featuring-1-3-gwh-of-battery-storage/"/>
    <m/>
    <m/>
  </r>
  <r>
    <x v="12"/>
    <s v="Hithium "/>
    <m/>
    <s v="Samsung C&amp;T"/>
    <m/>
    <m/>
    <m/>
    <n v="0"/>
    <m/>
    <s v="Global cooperation MoU"/>
    <x v="8"/>
    <s v="Global BESS EPC MoU JV"/>
    <m/>
    <n v="2025"/>
    <d v="2025-01-01T00:00:00"/>
    <s v="https://www.hithium.com/newsroom/latest/details/63.html"/>
    <m/>
    <m/>
  </r>
  <r>
    <x v="13"/>
    <s v="China Tianying"/>
    <m/>
    <s v="PT Maharaksa Biru Energi "/>
    <m/>
    <n v="159"/>
    <m/>
    <n v="159"/>
    <s v="South Tangerang"/>
    <s v="Indonesia"/>
    <x v="1"/>
    <s v="W2E 24MW"/>
    <m/>
    <n v="2028"/>
    <d v="2025-09-01T00:00:00"/>
    <s v="https://indonesiabusinesspost.com/5220/energy-and-resources/oasa-china-tianying-partner-to-set-up-waste-to-energy-plant-in-south-tangerang"/>
    <m/>
    <m/>
  </r>
  <r>
    <x v="13"/>
    <s v="Zheneng Jinjiang Environment Holding Co"/>
    <m/>
    <s v="n.a."/>
    <m/>
    <n v="300"/>
    <m/>
    <n v="300"/>
    <s v="Palembang"/>
    <s v="Indonesia"/>
    <x v="1"/>
    <s v="W2E 1ktpd waste, 20MW"/>
    <s v="Construction"/>
    <n v="2026"/>
    <d v="2025-12-01T00:00:00"/>
    <s v="https://goodmenproject.com/featured-content/indonesia-has-a-waste-problem-does-china-have-a-solution/"/>
    <m/>
    <m/>
  </r>
  <r>
    <x v="13"/>
    <s v="China Everbright"/>
    <m/>
    <s v="n.a."/>
    <m/>
    <n v="140"/>
    <m/>
    <n v="140"/>
    <s v="Chust District"/>
    <s v="Uzbekistan"/>
    <x v="3"/>
    <s v="W2E 1.5ktpd waste"/>
    <m/>
    <n v="2026"/>
    <d v="2025-12-01T00:00:00"/>
    <s v="https://www.seetaoe.com/details/253734.html"/>
    <m/>
    <m/>
  </r>
  <r>
    <x v="13"/>
    <s v="Chengdu Environmental Group"/>
    <m/>
    <s v="n.a."/>
    <m/>
    <n v="135"/>
    <m/>
    <n v="135"/>
    <s v="Jizzakh region"/>
    <s v="Uzbekistan"/>
    <x v="3"/>
    <s v="W2E 1.5ktpd waste"/>
    <m/>
    <n v="2026"/>
    <d v="2024-11-01T00:00:00"/>
    <s v="https://www.uzdaily.uz/en/eight-waste-to-energy-plants-planned-for-construction-in-uzbekistan/#:~:text=Each%20plant%20will%20cost%20US$310%20million%20and%20is%20projected,waste%20to%20produce%20alternative%20energy."/>
    <m/>
    <m/>
  </r>
  <r>
    <x v="13"/>
    <s v="CECEP Group"/>
    <m/>
    <s v="Magic Crystal"/>
    <m/>
    <m/>
    <m/>
    <n v="0"/>
    <s v="East Kalimantan"/>
    <s v="Indonesia"/>
    <x v="1"/>
    <m/>
    <m/>
    <m/>
    <d v="2025-10-01T00:00:00"/>
    <s v="https://asiatoday.id/read/pt-magic-crystal-indo-and-cecep-group-collaborate-to-develop-clean-energy-in-east-kalimantan"/>
    <m/>
    <m/>
  </r>
  <r>
    <x v="14"/>
    <s v="Envision"/>
    <m/>
    <s v="Jameel Energy FRV"/>
    <m/>
    <n v="1000"/>
    <m/>
    <n v="1000"/>
    <s v="Pecém Port"/>
    <s v="Brazil"/>
    <x v="4"/>
    <s v="Net-Zero Industrial Park in Brazil, focusing on SAF, GH2 &amp; 500MW ammonia."/>
    <s v="Announced"/>
    <n v="2030"/>
    <d v="2025-07-01T00:00:00"/>
    <s v="https://esgnews.com/envision-to-build-latin-americas-first-net-zero-industrial-park-in-brazil-to-accelerate-green-fuel-production/"/>
    <m/>
    <m/>
  </r>
  <r>
    <x v="14"/>
    <s v="Sungrow"/>
    <m/>
    <s v="United Engineering Services"/>
    <m/>
    <m/>
    <m/>
    <n v="0"/>
    <m/>
    <s v="Oman"/>
    <x v="5"/>
    <s v="electrolyser manufacturing facility"/>
    <s v="Announced"/>
    <s v="n.a."/>
    <d v="2025-08-01T00:00:00"/>
    <s v="https://reglobal.org/sungrow-hydrogen-plans-electrolyser-facility-in-oman/"/>
    <s v="https://www.agbi.com/renewable-energy/2025/08/china-sungrow-to-build-oman-first-specialist-green-hydrogen-plant/#:~:text=By%20Saleh%20Al%2DShaibany,economy%20away%20from%20fossil%20fuels."/>
    <m/>
  </r>
  <r>
    <x v="14"/>
    <s v="China Energy"/>
    <m/>
    <s v="Local partners"/>
    <m/>
    <m/>
    <n v="5100"/>
    <n v="5100"/>
    <m/>
    <s v="Egypt"/>
    <x v="0"/>
    <s v="RE powered GH2 140ktpa"/>
    <m/>
    <s v="n.a."/>
    <d v="2023-03-01T00:00:00"/>
    <s v="https://www.metal.com/en/newscontent/103629351?utm_source=chatgpt.com"/>
    <m/>
    <m/>
  </r>
  <r>
    <x v="14"/>
    <s v="Longi"/>
    <m/>
    <s v="APPL Hydrogen Ltd"/>
    <m/>
    <m/>
    <m/>
    <n v="0"/>
    <m/>
    <s v="Nigeria"/>
    <x v="0"/>
    <s v="€7.6bn 1.2Mtpa green ammonia project"/>
    <s v="Announced"/>
    <s v="n.a."/>
    <d v="2025-10-01T00:00:00"/>
    <s v="https://www.greenbuildingafrica.co.za/longi-sign-a-e7-6-billion-agreement-to-develop-a-green-hydrogen-project-in-nigeria/"/>
    <s v="https://www.metal.com/en/newscontent/103596610"/>
    <m/>
  </r>
  <r>
    <x v="15"/>
    <s v="BYD"/>
    <m/>
    <s v="Rever Auto"/>
    <m/>
    <n v="486"/>
    <m/>
    <n v="486"/>
    <m/>
    <s v="Thailand"/>
    <x v="1"/>
    <s v="NEV Mfg - 150,000 units pa"/>
    <m/>
    <n v="2024"/>
    <d v="2024-07-01T00:00:00"/>
    <m/>
    <m/>
    <m/>
  </r>
  <r>
    <x v="15"/>
    <s v="BYD"/>
    <m/>
    <s v="UzAuto"/>
    <m/>
    <m/>
    <n v="250"/>
    <n v="250"/>
    <m/>
    <s v="Uzbekistan"/>
    <x v="3"/>
    <s v="NEV Mfg - 50,000 units pa"/>
    <m/>
    <n v="2024"/>
    <d v="2024-06-01T00:00:00"/>
    <m/>
    <m/>
    <m/>
  </r>
  <r>
    <x v="15"/>
    <s v="BYD"/>
    <m/>
    <s v="FORVIA of France"/>
    <m/>
    <n v="4500"/>
    <m/>
    <n v="4500"/>
    <s v="Szeged"/>
    <s v="Hungary"/>
    <x v="2"/>
    <s v="NEV Mfg - 200,000 units pa"/>
    <s v="Construction"/>
    <n v="2025"/>
    <d v="2025-04-01T00:00:00"/>
    <s v="https://www.forvia.com/en/press/forvia-and-byd-expand-strategic-partnership-europe-through-future-cooperation-hungary"/>
    <m/>
    <m/>
  </r>
  <r>
    <x v="15"/>
    <s v="BYD"/>
    <m/>
    <s v="n.a."/>
    <m/>
    <n v="1000"/>
    <m/>
    <n v="1000"/>
    <s v="Camaçari"/>
    <s v="Brazil"/>
    <x v="4"/>
    <s v="NEV Mfg - 150,000 units pa *2"/>
    <s v="Operation"/>
    <n v="2025"/>
    <d v="2025-07-01T00:00:00"/>
    <s v="https://exame.com/tecnologia/byd-inicia-producao-do-primeiro-modelo-100-brasileiro-em-fabrica-de-camacari/"/>
    <m/>
    <m/>
  </r>
  <r>
    <x v="15"/>
    <s v="BYD"/>
    <m/>
    <s v="n.a."/>
    <m/>
    <n v="972"/>
    <m/>
    <n v="972"/>
    <s v="Bahia"/>
    <s v="Brazil"/>
    <x v="4"/>
    <s v="NEV Mfg - e-buses and trucks"/>
    <s v="Construction"/>
    <n v="2025"/>
    <d v="2025-07-01T00:00:00"/>
    <s v="https://asia.nikkei.com/Business/Automobiles/BYD-s-Brazil-expansion-hits-roadblocks-as-other-carmakers-call-for-tariffs "/>
    <m/>
    <m/>
  </r>
  <r>
    <x v="15"/>
    <s v="BYD"/>
    <m/>
    <s v="n.a."/>
    <m/>
    <n v="1300"/>
    <m/>
    <n v="1300"/>
    <s v="Subang Smartpolitan industrial area"/>
    <s v="Indonesia"/>
    <x v="1"/>
    <s v="NEV Mfg - 150,000 units pa"/>
    <s v="Construction"/>
    <n v="2026"/>
    <d v="2026-01-01T00:00:00"/>
    <s v="https://www.china5e.com/news/news-1184259-1.html"/>
    <s v="https://www.thejakartapost.com/business/2026/01/28/byd-vinfast-to-start-local-ev-production-in-march-govt-says.html#:~:text=to%20Anyone,2025%20as%20weak%20demand%20persists"/>
    <m/>
  </r>
  <r>
    <x v="15"/>
    <s v="BYD"/>
    <m/>
    <s v="n.a."/>
    <m/>
    <n v="1000"/>
    <m/>
    <n v="1000"/>
    <m/>
    <s v="Turkey"/>
    <x v="2"/>
    <s v="NEV Mfg - 150,000 units pa *2"/>
    <m/>
    <n v="2026"/>
    <d v="2024-07-01T00:00:00"/>
    <s v="https://finance.yahoo.com/news/chinese-ev-giant-byd-build-094442524.html"/>
    <m/>
    <m/>
  </r>
  <r>
    <x v="15"/>
    <s v="BYD"/>
    <m/>
    <s v="n.a."/>
    <m/>
    <m/>
    <n v="1000"/>
    <n v="1000"/>
    <m/>
    <s v="Mexico"/>
    <x v="4"/>
    <s v="NEV Mfg - 150,000 units pa"/>
    <m/>
    <s v="n.a."/>
    <d v="2025-03-01T00:00:00"/>
    <s v="https://www.ft.com/content/36ae6f78-aadb-47bb-a5cd-ec69b420cbe1?emailId=f210c979-ac2d-4e04-a2d0-909a0c094c2d&amp;segmentId=60a126e8-df3c-b524-c979-f90bde8a67cd "/>
    <m/>
    <m/>
  </r>
  <r>
    <x v="15"/>
    <s v="BYD"/>
    <m/>
    <s v="n.a."/>
    <m/>
    <m/>
    <m/>
    <n v="0"/>
    <m/>
    <s v="Germany"/>
    <x v="2"/>
    <m/>
    <s v="Announced"/>
    <s v="n.a."/>
    <d v="2025-03-01T00:00:00"/>
    <s v="https://www.reuters.com/business/autos-transportation/byd-considers-germany-third-plant-europe-2025-03-17/"/>
    <m/>
    <m/>
  </r>
  <r>
    <x v="15"/>
    <s v="BYD"/>
    <m/>
    <s v="n.a."/>
    <m/>
    <n v="32"/>
    <m/>
    <n v="32"/>
    <m/>
    <s v="Cambodia"/>
    <x v="1"/>
    <s v="NEV Mfg - 10,000 units pa"/>
    <m/>
    <n v="2025"/>
    <d v="2025-04-01T00:00:00"/>
    <s v="https://baijiahao.baidu.com/s?id=1830655704147198327&amp;wfr=spider&amp;for=pc "/>
    <m/>
    <m/>
  </r>
  <r>
    <x v="15"/>
    <s v="BYD"/>
    <m/>
    <s v="n.a."/>
    <m/>
    <n v="94"/>
    <m/>
    <n v="94"/>
    <s v="Komarom"/>
    <s v="Hungary"/>
    <x v="2"/>
    <s v="NEV Mfg - tripling EV Bus capacity"/>
    <m/>
    <n v="2026"/>
    <d v="2025-06-01T00:00:00"/>
    <s v="https://www.reuters.com/business/autos-transportation/byd-invest-94-million-triple-electric-bus-output-hungary-2025-06-27/"/>
    <m/>
    <m/>
  </r>
  <r>
    <x v="15"/>
    <s v="BYD"/>
    <m/>
    <s v="n.a."/>
    <m/>
    <m/>
    <m/>
    <n v="0"/>
    <m/>
    <s v="India"/>
    <x v="1"/>
    <s v="NEV Mfg "/>
    <s v="Speculated"/>
    <m/>
    <d v="2026-01-01T00:00:00"/>
    <s v="https://www.bloomberg.com/news/articles/2026-01-28/byd-weighs-india-expansion-as-hundreds-of-car-orders-pile-up?cmpid=eveapac&amp;utm_medium=email&amp;utm_source=newsletter&amp;utm_term=260128&amp;utm_campaign=eveapac"/>
    <m/>
    <m/>
  </r>
  <r>
    <x v="15"/>
    <s v="GWM"/>
    <m/>
    <s v="n.a."/>
    <m/>
    <m/>
    <n v="800"/>
    <n v="800"/>
    <s v="Sao Paulo"/>
    <s v="Brazil"/>
    <x v="4"/>
    <s v="NEV Mfg - 50,000 units pa (acquired from Daimler)"/>
    <s v="Operation"/>
    <n v="2025"/>
    <d v="2025-08-01T00:00:00"/>
    <s v="https://www.reuters.com/business/autos-transportation/brazil-is-open-business-lula-says-chinese-factory-opening-2025-08-15/"/>
    <s v="https://www.gwm-global.com/news/3403758.html#:~:text=%E4%B8%AD%E6%96%87%E7%AB%99,GT%20rolling%20off%20the%20line"/>
    <m/>
  </r>
  <r>
    <x v="15"/>
    <s v="GWM"/>
    <m/>
    <s v="n.a."/>
    <m/>
    <n v="62"/>
    <m/>
    <n v="62"/>
    <s v="Rayong"/>
    <s v="Thailand"/>
    <x v="1"/>
    <s v="NEV Mfg - 80,000 units pa"/>
    <s v="Operation"/>
    <n v="2023"/>
    <d v="2025-04-01T00:00:00"/>
    <s v="https://www.boi.go.th/index.php?page=press_releases_detail&amp;topic_id=135688&amp;utm_source=AItoolsmarketer&amp;utm_medium=marketplace&amp;utm_campAIgn=AItoolsmarketer&amp;language=en#:~:text=First%20off%20the%20blocks%20was,price%20with%20similar%20ICE%20models."/>
    <s v="https://www.bangkokpost.com/business/motoring/3006356/gwm-devises-plan-for-diesel-cars-in-rayong"/>
    <s v="https://www.digitimes.com/news/a20221122VL211/great-wall-motor-thailand.html#:~:text=Yusin%20Hu%2C%20DIGITIMES%20Asia%2C%20Taipei,stations%20across%20Thailand%20by%202030."/>
  </r>
  <r>
    <x v="15"/>
    <s v="Chery"/>
    <m/>
    <s v="Ebro-EV Motors"/>
    <m/>
    <n v="444.00000000000006"/>
    <m/>
    <n v="444.00000000000006"/>
    <s v="Barcelona"/>
    <s v="Spain"/>
    <x v="2"/>
    <s v="NEV Mfg - 50,000 units pa"/>
    <s v="Construction"/>
    <n v="2026"/>
    <d v="2026-02-01T00:00:00"/>
    <s v="https://tarantas.news/en/posts/id12727-chery-delays-european-factory-production-to-2026-amid-eu-market-shifts"/>
    <m/>
    <m/>
  </r>
  <r>
    <x v="15"/>
    <s v="Chery"/>
    <m/>
    <s v="n.a."/>
    <m/>
    <m/>
    <m/>
    <n v="0"/>
    <m/>
    <s v="Thailand"/>
    <x v="1"/>
    <s v="NEV Mfg - 50,000 units pa"/>
    <m/>
    <n v="2025"/>
    <d v="2024-04-01T00:00:00"/>
    <m/>
    <m/>
    <m/>
  </r>
  <r>
    <x v="15"/>
    <s v="Changan Auto"/>
    <m/>
    <s v="n.a."/>
    <m/>
    <n v="900"/>
    <m/>
    <n v="900"/>
    <m/>
    <s v="Thailand"/>
    <x v="1"/>
    <s v="NEV Mfg - 100,000 units pa x2"/>
    <m/>
    <n v="2025"/>
    <d v="2025-06-01T00:00:00"/>
    <s v="https://cnevpost.com/2025/05/19/changan-thailand-plant-goes-into-operation/ "/>
    <m/>
    <m/>
  </r>
  <r>
    <x v="15"/>
    <s v="Geely"/>
    <m/>
    <s v="Aston Martin"/>
    <m/>
    <n v="306.54000000000002"/>
    <m/>
    <n v="306.54000000000002"/>
    <m/>
    <s v="UK"/>
    <x v="2"/>
    <s v="Doubled equity stake to 17%"/>
    <m/>
    <s v="n.a."/>
    <d v="2023-05-01T00:00:00"/>
    <m/>
    <m/>
    <m/>
  </r>
  <r>
    <x v="15"/>
    <s v="Geely"/>
    <m/>
    <m/>
    <m/>
    <n v="120"/>
    <m/>
    <n v="120"/>
    <s v="Ansty Park"/>
    <s v="UK"/>
    <x v="2"/>
    <s v="London Electric Vehicle Company (LEVC)"/>
    <m/>
    <n v="2024"/>
    <d v="2024-08-01T00:00:00"/>
    <s v="https://electricdrives.tv/geely-makes-120m-investment-in-the-london-electric-vehicle-company/"/>
    <m/>
    <m/>
  </r>
  <r>
    <x v="15"/>
    <s v="Geely"/>
    <m/>
    <s v="Renault"/>
    <m/>
    <m/>
    <m/>
    <n v="0"/>
    <s v="Paraná"/>
    <s v="Brazil"/>
    <x v="4"/>
    <s v="Manufacturing agreement"/>
    <m/>
    <s v="n.a."/>
    <d v="2025-02-01T00:00:00"/>
    <s v="https://www.scmp.com/business/china-evs/article/3299099/chinese-ev-maker-geely-joins-byd-brazil-push-deal-renault "/>
    <m/>
    <m/>
  </r>
  <r>
    <x v="15"/>
    <s v="Geely's Polstar"/>
    <m/>
    <s v="Renault"/>
    <m/>
    <m/>
    <m/>
    <n v="0"/>
    <s v="Busan"/>
    <s v="South Korea"/>
    <x v="1"/>
    <s v="Manufacturing agreement"/>
    <m/>
    <s v="n.a."/>
    <d v="2025-02-01T00:00:00"/>
    <m/>
    <m/>
    <m/>
  </r>
  <r>
    <x v="15"/>
    <s v="Geely"/>
    <m/>
    <s v="PT Handal Indonesia Motor"/>
    <m/>
    <m/>
    <m/>
    <n v="0"/>
    <s v="Purwakarta"/>
    <s v="Indonesia"/>
    <x v="1"/>
    <s v="NEV assembly - 20k pa"/>
    <m/>
    <n v="2025"/>
    <d v="2025-10-01T00:00:00"/>
    <s v="https://www.just-auto.com/news/geely-begins-assembling-the-starray-in-indonesia/"/>
    <m/>
    <m/>
  </r>
  <r>
    <x v="15"/>
    <s v="Geely's Volvo"/>
    <m/>
    <s v="n.a."/>
    <m/>
    <n v="1332.0000000000002"/>
    <m/>
    <n v="1332.0000000000002"/>
    <s v="Košice"/>
    <s v="Slovakia"/>
    <x v="2"/>
    <s v="NEV Mfg - 250,000 units pa"/>
    <s v="Construction"/>
    <n v="2026"/>
    <d v="2025-07-01T00:00:00"/>
    <s v="https://www.bloomberg.com/news/features/2024-01-08/big-european-car-industry-is-jeopardized-by-electric-vehicles?sref=XNB4Nygj"/>
    <m/>
    <m/>
  </r>
  <r>
    <x v="15"/>
    <s v="Xpeng"/>
    <m/>
    <s v="n.a."/>
    <m/>
    <m/>
    <m/>
    <n v="0"/>
    <s v="Purwakarta, West Java"/>
    <s v="Indonesia"/>
    <x v="1"/>
    <s v="NEV Mfg - 90,000 units pa CKD"/>
    <m/>
    <n v="2025"/>
    <d v="2025-03-01T00:00:00"/>
    <s v="https://cnevpost.com/2025/03/17/xpeng-enters-indonesia-local-production-h2-2025/"/>
    <s v="https://chinaglobalsouth.com/2025/03/02/chinas-xpeng-expands-in-indonesia-local-ev-production-and-nickel-battery-plans/"/>
    <m/>
  </r>
  <r>
    <x v="15"/>
    <s v="Leapmotor"/>
    <m/>
    <s v="Stellantis"/>
    <m/>
    <m/>
    <m/>
    <n v="0"/>
    <m/>
    <s v="Europe"/>
    <x v="2"/>
    <s v="NEV Mfg - site Yet to be determined"/>
    <s v="Mothballed"/>
    <s v="n.a."/>
    <d v="2025-05-01T00:00:00"/>
    <s v="https://www.scmp.com/business/banking-finance/article/3310931/stellantis-relocating-chinese-ev-maker-leapmotors-european-production-poland"/>
    <m/>
    <m/>
  </r>
  <r>
    <x v="15"/>
    <s v="Human Horizons"/>
    <m/>
    <s v="Ministry of Investment"/>
    <m/>
    <n v="5600"/>
    <m/>
    <n v="5600"/>
    <m/>
    <s v="Saudi Arabia"/>
    <x v="5"/>
    <s v="NEV Mfg - MoU"/>
    <s v="Postponed"/>
    <s v="n.a."/>
    <d v="2023-06-01T00:00:00"/>
    <s v="https://www.reuters.com/business/energy/saudi-arabia-signs-56-bln-deal-with-chinese-ev-company-state-media-2023-06-12/"/>
    <m/>
    <m/>
  </r>
  <r>
    <x v="16"/>
    <m/>
    <m/>
    <m/>
    <m/>
    <m/>
    <m/>
    <m/>
    <m/>
    <m/>
    <x v="8"/>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
  <r>
    <s v="Rare Earths"/>
    <x v="0"/>
    <s v="Shenghe Resources"/>
    <m/>
    <n v="1.5"/>
    <m/>
    <n v="1.5"/>
    <s v="Tanzania"/>
    <x v="0"/>
    <s v="50% equity stake in Wigu Hill rare earth proposal from ASX-listed Vital Metals. "/>
    <x v="0"/>
    <d v="2023-10-01T00:00:00"/>
    <m/>
  </r>
  <r>
    <s v="Rare Earths"/>
    <x v="0"/>
    <s v="Shenghe Resources"/>
    <m/>
    <n v="4.0200000000000005"/>
    <m/>
    <n v="4.0200000000000005"/>
    <s v="Tanzania"/>
    <x v="0"/>
    <s v="Stake in Vital Metals with A$6m for 9.99% equity. "/>
    <x v="0"/>
    <d v="2023-12-01T00:00:00"/>
    <m/>
  </r>
  <r>
    <s v="Rare Earths"/>
    <x v="0"/>
    <s v="Shenghe Resources"/>
    <m/>
    <n v="130.65"/>
    <m/>
    <n v="130.65"/>
    <s v="Tanzania"/>
    <x v="0"/>
    <s v="Binding agreement for full acquisition of ASX-listed Peak Rare Earths"/>
    <x v="0"/>
    <d v="2025-09-01T00:00:00"/>
    <m/>
  </r>
  <r>
    <s v="Critical Minerals"/>
    <x v="1"/>
    <s v="Ganfeng Lithium"/>
    <m/>
    <n v="343"/>
    <m/>
    <n v="343"/>
    <s v="Mali"/>
    <x v="0"/>
    <s v="Ganfeng Lithium buy out Mali JV partner Leo Lithium's 40% stake for US$343m. "/>
    <x v="0"/>
    <d v="2024-05-01T00:00:00"/>
    <m/>
  </r>
  <r>
    <s v="Critical Minerals"/>
    <x v="1"/>
    <s v="Sinomine Resource Group"/>
    <m/>
    <n v="300"/>
    <m/>
    <n v="300"/>
    <s v="Zimbabwe"/>
    <x v="0"/>
    <s v="US$300m investment into lithium spodumene refinery at Bikita Mine's 300,000tpa lithium operation. Sinomine acquired Bikita for US$180m in 2022. "/>
    <x v="1"/>
    <d v="2024-04-01T00:00:00"/>
    <m/>
  </r>
  <r>
    <s v="Critical Minerals"/>
    <x v="1"/>
    <s v="Sinomine Resource Group"/>
    <m/>
    <n v="500"/>
    <m/>
    <n v="500"/>
    <s v="Zimbabwe"/>
    <x v="0"/>
    <s v="Reports of Sinomine planning US$500m lithium sulphate plant at Bikita Mine. "/>
    <x v="2"/>
    <d v="2025-10-01T00:00:00"/>
    <m/>
  </r>
  <r>
    <s v="Critical Minerals"/>
    <x v="1"/>
    <s v="Yahua Industrial Group"/>
    <m/>
    <m/>
    <m/>
    <n v="0"/>
    <s v="Zimbabwe"/>
    <x v="0"/>
    <s v="Reports of Yahua building downstream lithium sulphate plant. "/>
    <x v="2"/>
    <d v="2026-02-01T00:00:00"/>
    <m/>
  </r>
  <r>
    <s v="Critical Minerals"/>
    <x v="1"/>
    <s v="Zhejiang Huayou Cobalt"/>
    <m/>
    <n v="400"/>
    <m/>
    <n v="400"/>
    <s v="Zimbabwe"/>
    <x v="0"/>
    <s v="50-60,000tpa lithium sulphate plant in Zimbabwe (Arcadia plant). "/>
    <x v="3"/>
    <d v="2026-02-01T00:00:00"/>
    <s v="https://www.cnbcafrica.com/2025/huayou-to-start-zimbabwe-lithium-sulphate-production-early-2026"/>
  </r>
  <r>
    <s v="Critical Minerals"/>
    <x v="1"/>
    <s v="Zhejiang Huayou Cobalt"/>
    <m/>
    <n v="422"/>
    <m/>
    <n v="422"/>
    <s v="Zimbabwe"/>
    <x v="0"/>
    <s v="Acquisition of Acadia lithium mine from ASX Prospect Resources"/>
    <x v="0"/>
    <n v="2022"/>
    <m/>
  </r>
  <r>
    <s v="Critical Minerals"/>
    <x v="1"/>
    <s v="Zhejiang Huayou Cobalt"/>
    <m/>
    <n v="300"/>
    <m/>
    <n v="300"/>
    <s v="Zimbabwe"/>
    <x v="0"/>
    <s v="Arcadia 450,000tpa lithium concentrate plant"/>
    <x v="3"/>
    <d v="2023-07-01T00:00:00"/>
    <m/>
  </r>
  <r>
    <s v="Critical Minerals"/>
    <x v="1"/>
    <s v="Unknown"/>
    <m/>
    <n v="270"/>
    <m/>
    <n v="270"/>
    <s v="Zimbabwe"/>
    <x v="0"/>
    <s v="Kuvimba Mining sign MoU for BOT agreement twith two unnamed Chinese investors (speculated to be Zhejiang Huayou Cobalt and Tsingshan Holding Group) to construct 600ktpa lithium concentrator at Sandawana Mine"/>
    <x v="1"/>
    <d v="2024-07-01T00:00:00"/>
    <m/>
  </r>
  <r>
    <s v="Critical Minerals"/>
    <x v="1"/>
    <s v="Chengxin Lithium Group"/>
    <m/>
    <n v="130"/>
    <m/>
    <n v="130"/>
    <s v="Zimbabwe"/>
    <x v="0"/>
    <s v="Chengxin Lithium Group commission a lithium concentrator at the Sabi Star Mine in Zimbabwe's Masvingo Province, producing 300,000tpa of lithium"/>
    <x v="3"/>
    <d v="2023-05-01T00:00:00"/>
    <m/>
  </r>
  <r>
    <s v="Critical Minerals"/>
    <x v="1"/>
    <s v="Rwizi Rukuru"/>
    <m/>
    <m/>
    <n v="30"/>
    <n v="30"/>
    <s v="Zimbabwe"/>
    <x v="0"/>
    <s v="Commissioning of 300tpd lithium concentrator in Mutoko"/>
    <x v="3"/>
    <d v="2024-04-01T00:00:00"/>
    <m/>
  </r>
  <r>
    <s v="Critical Minerals"/>
    <x v="1"/>
    <s v="Shengxiang Investments"/>
    <m/>
    <n v="40"/>
    <m/>
    <n v="40"/>
    <s v="Zimbabwe"/>
    <x v="0"/>
    <s v="Completed construction of 360ktpa lithium concentrator."/>
    <x v="3"/>
    <d v="2023-07-01T00:00:00"/>
    <m/>
  </r>
  <r>
    <s v="Critical Minerals"/>
    <x v="1"/>
    <s v="Various"/>
    <m/>
    <n v="1300"/>
    <m/>
    <n v="1300"/>
    <s v="Nigeria"/>
    <x v="0"/>
    <s v="Various investments from Chinese firms into lithium mining and refining in Nigeria"/>
    <x v="1"/>
    <d v="2025-05-01T00:00:00"/>
    <s v="https://www.mining-technology.com/news/nigeria-lithium-processing-plants-chinese-investment/?cf-view"/>
  </r>
  <r>
    <s v="Critical Minerals"/>
    <x v="1"/>
    <s v="Zijin Mining Group"/>
    <s v="Cominière"/>
    <m/>
    <m/>
    <n v="0"/>
    <s v="Congo"/>
    <x v="0"/>
    <s v="50% equity stake in 5Mtpa Manono lithium JV with Congo SOE"/>
    <x v="4"/>
    <d v="2025-01-01T00:00:00"/>
    <m/>
  </r>
  <r>
    <s v="Critical Minerals"/>
    <x v="1"/>
    <s v="Various"/>
    <m/>
    <n v="1750"/>
    <m/>
    <n v="1750"/>
    <s v="Ethiopia"/>
    <x v="0"/>
    <s v="Series of investment announcements by five Chinese firms planning to invest a total of US$1.75bn in Ethiopia's mining and solar sectors."/>
    <x v="1"/>
    <d v="2025-05-01T00:00:00"/>
    <m/>
  </r>
  <r>
    <s v="Critical Minerals"/>
    <x v="1"/>
    <s v="Sichuan Yahua Industrial Group"/>
    <s v="LGES"/>
    <n v="612"/>
    <m/>
    <n v="612"/>
    <s v="Morocco"/>
    <x v="0"/>
    <s v="30,000tpa lithium hydroxide refinery in Morocco"/>
    <x v="1"/>
    <d v="2025-09-01T00:00:00"/>
    <m/>
  </r>
  <r>
    <s v="Critical Minerals"/>
    <x v="1"/>
    <s v="Ganfeng Lithium"/>
    <m/>
    <n v="962"/>
    <m/>
    <n v="962"/>
    <s v="Argentina"/>
    <x v="1"/>
    <s v="Acquisition of Lithea Inc. "/>
    <x v="0"/>
    <d v="2022-07-01T00:00:00"/>
    <m/>
  </r>
  <r>
    <s v="Critical Minerals"/>
    <x v="1"/>
    <s v="Ganfeng Lithium"/>
    <m/>
    <n v="70"/>
    <m/>
    <n v="70"/>
    <s v="Argentina"/>
    <x v="1"/>
    <s v="Acquisition of 15% stake in project from Lithium Argentina"/>
    <x v="0"/>
    <d v="2024-03-01T00:00:00"/>
    <m/>
  </r>
  <r>
    <s v="Critical Minerals"/>
    <x v="1"/>
    <s v="Zijin Mining Group"/>
    <m/>
    <n v="600"/>
    <m/>
    <n v="600"/>
    <s v="Argentina"/>
    <x v="1"/>
    <s v="Commence production at its new US$600m Tres Quebradas phase 1 20,000tpa Lithium Carbonate Project in Argentina"/>
    <x v="3"/>
    <d v="2025-09-01T00:00:00"/>
    <m/>
  </r>
  <r>
    <s v="Critical Minerals"/>
    <x v="1"/>
    <s v="CATL"/>
    <m/>
    <n v="1000"/>
    <m/>
    <n v="1000"/>
    <s v="Bolivia"/>
    <x v="1"/>
    <s v="plans to invest US$1bn to build lithium extraction plants to produce lithium in the Salar De Uyuni and Salar de Coipasa, Bolivia"/>
    <x v="1"/>
    <d v="2023-06-01T00:00:00"/>
    <m/>
  </r>
  <r>
    <s v="Critical Minerals"/>
    <x v="1"/>
    <s v="Ganfeng Lithium"/>
    <m/>
    <n v="800"/>
    <m/>
    <n v="800"/>
    <s v="Mexico"/>
    <x v="1"/>
    <s v="Paused further US$800m spending on development in Mexico following cancellation of mining rights"/>
    <x v="5"/>
    <d v="2023-11-01T00:00:00"/>
    <m/>
  </r>
  <r>
    <s v="Critical Minerals"/>
    <x v="1"/>
    <s v="Sinomine Resource Group"/>
    <m/>
    <n v="128.78"/>
    <m/>
    <n v="128.78"/>
    <s v="Canada"/>
    <x v="2"/>
    <s v="C$176m plan for 1Mtpa lithium processing plant at Tanco"/>
    <x v="1"/>
    <d v="2023-02-01T00:00:00"/>
    <m/>
  </r>
  <r>
    <s v="Critical Minerals"/>
    <x v="1"/>
    <s v="Sinomine Resource Group"/>
    <m/>
    <n v="20"/>
    <m/>
    <n v="20"/>
    <s v="Mongolia"/>
    <x v="3"/>
    <s v="51% stake in lithium recylcing plant and lithium processing"/>
    <x v="0"/>
    <d v="2023-02-01T00:00:00"/>
    <m/>
  </r>
  <r>
    <s v="Strategic Metals"/>
    <x v="2"/>
    <s v="Simandou"/>
    <m/>
    <n v="23200"/>
    <m/>
    <n v="23200"/>
    <s v="Guinea"/>
    <x v="0"/>
    <s v="Simandou Project - Funding"/>
    <x v="3"/>
    <d v="2024-07-01T00:00:00"/>
    <m/>
  </r>
  <r>
    <s v="Strategic Metals"/>
    <x v="2"/>
    <s v="China Kingho Energy Group"/>
    <m/>
    <n v="230"/>
    <m/>
    <n v="230"/>
    <s v="Sierra Leone"/>
    <x v="0"/>
    <s v="full commissioning at a cost of US$230m of a 12Mtpa 65% iron ore processing plant to lift the grade up from 55% previously at the Tonkolili iron ore mine"/>
    <x v="3"/>
    <d v="2025-04-01T00:00:00"/>
    <m/>
  </r>
  <r>
    <s v="Strategic Metals"/>
    <x v="3"/>
    <s v="Tsingshan Group"/>
    <m/>
    <n v="1500"/>
    <m/>
    <n v="1500"/>
    <s v="Zimbabwe"/>
    <x v="0"/>
    <s v="nearing completion of a US$1.5bn 600,000tpa expansion of its pig iron plant in Manhize, south of Harare in Zimbabwe"/>
    <x v="4"/>
    <d v="2026-01-01T00:00:00"/>
    <m/>
  </r>
  <r>
    <s v="Strategic Metals"/>
    <x v="2"/>
    <s v="Jinzhao Group"/>
    <m/>
    <n v="1800"/>
    <m/>
    <n v="1800"/>
    <s v="Peru"/>
    <x v="1"/>
    <s v="likely to see construction commence on Jinzhao Mining's US$1.8bn 22Mtpa Pampa de Pongo iron proposal in the Arequipa region of Peru"/>
    <x v="1"/>
    <n v="2026"/>
    <m/>
  </r>
  <r>
    <s v="Strategic Metals"/>
    <x v="2"/>
    <s v="Jinnan Iron &amp; Steel Group"/>
    <s v="Vale"/>
    <n v="627"/>
    <m/>
    <n v="627"/>
    <s v="Oman"/>
    <x v="4"/>
    <s v="iron ore concentration plant in Oman's Sohar Port and Freezone to process 18Mtpa of iron ore to produce 12.6Mtpa feedstock pellets suitable for the DRI-EAF process"/>
    <x v="1"/>
    <d v="2024-10-01T00:00:00"/>
    <m/>
  </r>
  <r>
    <s v="Strategic Metals"/>
    <x v="3"/>
    <s v="Shougang Group"/>
    <s v="Fujian Hengwang Investment Co"/>
    <n v="1200"/>
    <m/>
    <n v="1200"/>
    <s v="Kazakhstan"/>
    <x v="3"/>
    <s v="US$1.2bn low-carbon steel plant in Kazakhstan's Jambyl region leveraging locally sourced iron ore"/>
    <x v="4"/>
    <d v="2025-02-01T00:00:00"/>
    <m/>
  </r>
  <r>
    <s v="Strategic Metals"/>
    <x v="3"/>
    <s v="Tsingshan Group"/>
    <m/>
    <n v="800"/>
    <m/>
    <n v="800"/>
    <s v="Zimbabwe"/>
    <x v="0"/>
    <s v="arge-scale integrated steel plant designed to be Africa's largest steelworks, doubling  existing capacity to 1.2Mtpa"/>
    <x v="1"/>
    <d v="2025-08-01T00:00:00"/>
    <m/>
  </r>
  <r>
    <s v="Strategic Metals"/>
    <x v="3"/>
    <s v="Baoshan Iron &amp; Steel"/>
    <s v="Aramco &amp; PIF"/>
    <n v="4000"/>
    <m/>
    <n v="4000"/>
    <s v="Saudi Arabia"/>
    <x v="4"/>
    <s v="2.5Mtpa DRI / 1.5Mtpa metal plate integrated manufacturing facility in Ras Al-Khair SEZ"/>
    <x v="4"/>
    <d v="2025-09-01T00:00:00"/>
    <m/>
  </r>
  <r>
    <s v="Strategic Metals"/>
    <x v="3"/>
    <s v="Tsingshan Group"/>
    <m/>
    <n v="10000"/>
    <m/>
    <n v="10000"/>
    <s v="Oman"/>
    <x v="4"/>
    <s v="US$10bn integrated green steel industrial precinct and supply chains in the Duqm Special Economic Zone, Oman"/>
    <x v="1"/>
    <d v="2025-12-01T00:00:00"/>
    <m/>
  </r>
  <r>
    <s v="Precious Metals"/>
    <x v="4"/>
    <s v="Zhaojin Mining Industry Group"/>
    <m/>
    <n v="478"/>
    <m/>
    <n v="478"/>
    <s v="Ivory Coast"/>
    <x v="1"/>
    <s v="Acquisition of Tietto Minerals, flagship asset Abujar Gold Mine in Ivory Coast"/>
    <x v="0"/>
    <d v="2024-04-01T00:00:00"/>
    <m/>
  </r>
  <r>
    <s v="Precious Metals"/>
    <x v="4"/>
    <s v="CMOC"/>
    <m/>
    <n v="419"/>
    <m/>
    <n v="419"/>
    <s v="Ecuador"/>
    <x v="1"/>
    <s v="Acquisiotn of Lumina Gold Corp (Cangrejos deposit)"/>
    <x v="0"/>
    <d v="2025-04-01T00:00:00"/>
    <m/>
  </r>
  <r>
    <s v="Precious Metals"/>
    <x v="4"/>
    <s v="Zijin Mining Group"/>
    <m/>
    <n v="1200"/>
    <m/>
    <n v="1200"/>
    <s v="Kazakhstan"/>
    <x v="3"/>
    <s v="Acquisition of Raygorodok Gold Mine"/>
    <x v="0"/>
    <d v="2025-06-01T00:00:00"/>
    <m/>
  </r>
  <r>
    <s v="Precious Metals"/>
    <x v="4"/>
    <s v="Zijin Mining Group"/>
    <m/>
    <n v="1000"/>
    <m/>
    <n v="1000"/>
    <s v="Ghana"/>
    <x v="0"/>
    <s v="Acquisition of Akyem Gold Mine from Newmont"/>
    <x v="0"/>
    <d v="2025-08-01T00:00:00"/>
    <m/>
  </r>
  <r>
    <s v="Precious Metals"/>
    <x v="4"/>
    <s v="CMOC"/>
    <m/>
    <n v="1020"/>
    <m/>
    <n v="1020"/>
    <s v="Brazil"/>
    <x v="1"/>
    <s v="Acquisition of Equinox Gold's Brazilian gold assets"/>
    <x v="0"/>
    <d v="2025-12-01T00:00:00"/>
    <m/>
  </r>
  <r>
    <s v="Precious Metals"/>
    <x v="4"/>
    <s v="Jilin Mining Group"/>
    <m/>
    <n v="4000"/>
    <m/>
    <n v="4000"/>
    <m/>
    <x v="0"/>
    <s v="Proposed acquisition of Allied Gold"/>
    <x v="2"/>
    <d v="2026-01-01T00:00:00"/>
    <m/>
  </r>
  <r>
    <s v="Strategic Metals"/>
    <x v="5"/>
    <s v="Chinalco"/>
    <m/>
    <n v="1350"/>
    <m/>
    <n v="1350"/>
    <s v="Peru"/>
    <x v="1"/>
    <s v="Expansion of Toromocho mine - 300,000tpa"/>
    <x v="4"/>
    <d v="2023-05-01T00:00:00"/>
    <m/>
  </r>
  <r>
    <s v="Strategic Metals"/>
    <x v="5"/>
    <s v="Baiyin Nonferrous Group"/>
    <m/>
    <n v="420"/>
    <m/>
    <n v="420"/>
    <s v="Brazil"/>
    <x v="1"/>
    <s v="Acquisition of MVV"/>
    <x v="0"/>
    <d v="2025-04-01T00:00:00"/>
    <m/>
  </r>
  <r>
    <s v="Strategic Metals"/>
    <x v="5"/>
    <s v="CMCGC"/>
    <m/>
    <n v="300"/>
    <m/>
    <n v="300"/>
    <s v="DRC"/>
    <x v="0"/>
    <s v="CMCGC commissioning of Longxi mining and smelter operation - 40ktpa cathode copper"/>
    <x v="3"/>
    <d v="2023-09-01T00:00:00"/>
    <m/>
  </r>
  <r>
    <s v="Strategic Metals"/>
    <x v="5"/>
    <s v="CMOC"/>
    <m/>
    <n v="1100"/>
    <m/>
    <n v="1100"/>
    <s v="DRC"/>
    <x v="0"/>
    <s v="CMOC Group provide a progress report on its US$1.1bn KFM Phase II Project"/>
    <x v="4"/>
    <d v="2025-10-01T00:00:00"/>
    <m/>
  </r>
  <r>
    <s v="Strategic Metals"/>
    <x v="5"/>
    <s v="Zijin Mining Group"/>
    <m/>
    <n v="1100"/>
    <m/>
    <n v="1100"/>
    <s v="DRC"/>
    <x v="0"/>
    <s v="Kamoa Copper S.A.’s new US$1.1bn blister copper concentrate refinery reach first copper anode production at the location of its Kamoa-Kakula mine. Zijin Mining Group has 40% equity stake"/>
    <x v="3"/>
    <d v="2025-12-01T00:00:00"/>
    <m/>
  </r>
  <r>
    <s v="Strategic Metals"/>
    <x v="5"/>
    <s v="Sicomines"/>
    <m/>
    <n v="4000"/>
    <m/>
    <n v="4000"/>
    <s v="DRC"/>
    <x v="0"/>
    <s v="Uplift in life-of-mine infrastructure upgrade by US$4bn to 2040"/>
    <x v="4"/>
    <d v="2024-05-01T00:00:00"/>
    <m/>
  </r>
  <r>
    <s v="Strategic Metals"/>
    <x v="5"/>
    <s v="Dowstone Technology"/>
    <m/>
    <n v="165"/>
    <m/>
    <n v="165"/>
    <s v="DRC"/>
    <x v="0"/>
    <s v="Dowstone Technology propose a US$165m investment in a copper smelter in the Congo"/>
    <x v="2"/>
    <d v="2025-07-01T00:00:00"/>
    <m/>
  </r>
  <r>
    <s v="Strategic Metals"/>
    <x v="5"/>
    <s v="Jiangxi Copper"/>
    <m/>
    <n v="1000"/>
    <m/>
    <n v="1000"/>
    <s v="Ecuador"/>
    <x v="1"/>
    <s v="Proposed acquiition of SolGold"/>
    <x v="2"/>
    <d v="2025-12-01T00:00:00"/>
    <m/>
  </r>
  <r>
    <s v="Strategic Metals"/>
    <x v="5"/>
    <s v="Boway Alloy"/>
    <m/>
    <n v="150"/>
    <m/>
    <n v="150"/>
    <s v="Moroccco"/>
    <x v="0"/>
    <s v="30,000tpa of special copper alloy electronic material strips in Nador Province, Morocco"/>
    <x v="1"/>
    <d v="2025-10-01T00:00:00"/>
    <m/>
  </r>
  <r>
    <s v="Strategic Metals"/>
    <x v="5"/>
    <s v="CMCGC"/>
    <m/>
    <n v="4200"/>
    <m/>
    <n v="4200"/>
    <s v="Afghanistan"/>
    <x v="3"/>
    <s v="CMCGC hold the groundbreaking ceremony of Mes Ayank"/>
    <x v="4"/>
    <d v="2024-07-01T00:00:00"/>
    <m/>
  </r>
  <r>
    <s v="Strategic Metals"/>
    <x v="5"/>
    <s v="China Nonferrous Metal Mining Co"/>
    <m/>
    <n v="1500"/>
    <m/>
    <n v="1500"/>
    <s v="Kazakhstan"/>
    <x v="3"/>
    <s v="300,000tpa copper smelter in the Abay region, Kazakhstan"/>
    <x v="1"/>
    <d v="2024-06-01T00:00:00"/>
    <m/>
  </r>
  <r>
    <s v="Strategic Metals"/>
    <x v="5"/>
    <s v="Zijin Mining Group"/>
    <m/>
    <n v="3800"/>
    <m/>
    <n v="3800"/>
    <s v="Serbia"/>
    <x v="5"/>
    <s v="Additional investment MoU with Serbian Gov for Bor copper"/>
    <x v="1"/>
    <d v="2023-09-01T00:00:00"/>
    <m/>
  </r>
  <r>
    <s v="Strategic Metals"/>
    <x v="6"/>
    <s v="CATL"/>
    <m/>
    <n v="420"/>
    <m/>
    <n v="420"/>
    <s v="Indonesia"/>
    <x v="6"/>
    <s v="Nickel JV w/ Antam and IBC"/>
    <x v="1"/>
    <d v="2024-01-01T00:00:00"/>
    <m/>
  </r>
  <r>
    <s v="Strategic Metals"/>
    <x v="6"/>
    <s v="CATL"/>
    <m/>
    <n v="6000"/>
    <m/>
    <n v="6000"/>
    <s v="Indonesia"/>
    <x v="6"/>
    <s v="Nickel JV w/ Antam and IBC into integrated battery facility"/>
    <x v="1"/>
    <d v="2025-06-01T00:00:00"/>
    <m/>
  </r>
  <r>
    <s v="Strategic Metals"/>
    <x v="6"/>
    <s v="CNGR"/>
    <m/>
    <n v="10000"/>
    <m/>
    <n v="10000"/>
    <s v="Indonesia"/>
    <x v="6"/>
    <s v="CNGR announce grand plans to invest up to US$10bn in a vertically integrated nickel production facility in Indonesia in three phases over the next 10-15 years"/>
    <x v="1"/>
    <d v="2024-10-01T00:00:00"/>
    <m/>
  </r>
  <r>
    <s v="Strategic Metals"/>
    <x v="6"/>
    <s v="CNGR"/>
    <m/>
    <n v="790"/>
    <m/>
    <n v="790"/>
    <s v="Indonesia"/>
    <x v="6"/>
    <s v="Expansion to pCAM"/>
    <x v="1"/>
    <d v="2025-04-01T00:00:00"/>
    <m/>
  </r>
  <r>
    <s v="Strategic Metals"/>
    <x v="6"/>
    <s v="Zhejiang Huayou Cobalt"/>
    <m/>
    <n v="8450"/>
    <m/>
    <n v="8450"/>
    <s v="Indonesia"/>
    <x v="6"/>
    <s v="propose to take on the development of Indonesia’s high-profile Project Titan, a proposed US$8.45bn EV battery hub"/>
    <x v="1"/>
    <d v="2025-04-01T00:00:00"/>
    <m/>
  </r>
  <r>
    <s v="Strategic Metals"/>
    <x v="6"/>
    <s v="Zhejiang Huayou Cobalt"/>
    <m/>
    <n v="4300"/>
    <m/>
    <n v="4300"/>
    <s v="Indonesia"/>
    <x v="6"/>
    <s v="construction  completion due 1QCY2026 at PT Kolaka Nickel Indonesia (KNI)’s Pomalaa Block Project. KNI is a JV controlled by Zhejiang Huayou Cobalt Co. (73%), Vale Indonesia (18%) and Ford Motor (8.5%)."/>
    <x v="4"/>
    <d v="2025-12-01T00:00:00"/>
    <m/>
  </r>
  <r>
    <s v="Strategic Metals"/>
    <x v="6"/>
    <s v="Zhejiang Huayou Cobalt"/>
    <s v="EVE Energy"/>
    <n v="8000"/>
    <m/>
    <n v="8000"/>
    <s v="Indonesia"/>
    <x v="6"/>
    <s v="HYD Investment JV in West Java"/>
    <x v="1"/>
    <d v="2026-01-01T00:00:00"/>
    <m/>
  </r>
  <r>
    <s v="Strategic Metals"/>
    <x v="6"/>
    <s v="Zhongzhou Mining"/>
    <m/>
    <n v="15"/>
    <m/>
    <n v="15"/>
    <s v="Tanzania"/>
    <x v="0"/>
    <s v="Tanzania's first nickel and copper refining plant processing 280,000tpa"/>
    <x v="4"/>
    <d v="2025-08-01T00:00:00"/>
    <m/>
  </r>
  <r>
    <s v="Strategic Metals"/>
    <x v="6"/>
    <s v="MMG"/>
    <m/>
    <n v="500"/>
    <m/>
    <n v="500"/>
    <s v="Brazil"/>
    <x v="1"/>
    <s v="MMG acquire Anglo American’s nickel assets in Brazil in a US$500m "/>
    <x v="0"/>
    <d v="2025-09-01T00:00:00"/>
    <m/>
  </r>
  <r>
    <s v="Strategic Metals"/>
    <x v="7"/>
    <s v="SPIC"/>
    <m/>
    <n v="1030"/>
    <m/>
    <n v="1030"/>
    <s v="Guinea"/>
    <x v="0"/>
    <s v=" phase 2 of the first Guinea alumina refinery, plus an associated captive 250MW coal fired power plant"/>
    <x v="4"/>
    <d v="2025-10-01T00:00:00"/>
    <m/>
  </r>
  <r>
    <s v="Strategic Metals"/>
    <x v="7"/>
    <s v="Chalco"/>
    <m/>
    <n v="500"/>
    <m/>
    <n v="500"/>
    <s v="Guinea"/>
    <x v="0"/>
    <s v="12Mtpa bauxite mine in the Boffa area, which was commissioned in 2024"/>
    <x v="3"/>
    <d v="2025-11-01T00:00:00"/>
    <m/>
  </r>
  <r>
    <s v="Strategic Metals"/>
    <x v="7"/>
    <s v="Chalco"/>
    <m/>
    <n v="700"/>
    <m/>
    <n v="700"/>
    <s v="Guinea"/>
    <x v="0"/>
    <s v="Chalco is proceeding with a US$700m Boffa expansion"/>
    <x v="4"/>
    <d v="2025-11-01T00:00:00"/>
    <m/>
  </r>
  <r>
    <s v="Strategic Metals"/>
    <x v="7"/>
    <s v="Shandong Innovation Group"/>
    <s v="PIF"/>
    <n v="10000"/>
    <m/>
    <m/>
    <s v="Saudi Arabia"/>
    <x v="4"/>
    <s v="PIF and Red Sea Aluminium Holdings (a subsidiary of China’s Shandong Innovation Group) to invest SR38bn (US$10bn) in the development of an advanced, integrated aluminum complex in Yanbu, Saudi Arabia"/>
    <x v="1"/>
    <d v="2026-01-01T00:00:00"/>
    <m/>
  </r>
  <r>
    <s v="Strategic Metals"/>
    <x v="7"/>
    <s v="Chinalco"/>
    <s v="Rio Tinto"/>
    <n v="902"/>
    <m/>
    <n v="902"/>
    <s v="Brazil"/>
    <x v="1"/>
    <s v="Chinalco (67% share) partner with Rio Tinto (33% share) bid to acquire from Brazilian conglomerate Grupo Votorantim their controlling 68.6% stake in Companhia Brasileira de Aluminio"/>
    <x v="0"/>
    <d v="2026-01-01T00:00:00"/>
    <m/>
  </r>
  <r>
    <s v="Strategic Metals"/>
    <x v="7"/>
    <s v="Lygend Resources"/>
    <s v="Alamtri Resources"/>
    <m/>
    <n v="4200"/>
    <n v="4200"/>
    <s v="Indonesia"/>
    <x v="6"/>
    <s v="Kaltara Project, located in the Kalimantan Industrial Park Indonesia (KIPI). three phases of 500,000tpa each. Phase I began partial operations in January 2026, with phase 2 expected on line by the end of 2026, both powered by behind the meter coal power. The third 500,000tpa phase is due by 2029. "/>
    <x v="4"/>
    <d v="2025-12-01T00:00:00"/>
    <s v="https://www.argusmedia.com/en/news-and-insights/latest-market-news/2768506-viewpoint-asean-aluminium-output-to-reach-2.7mn-t"/>
  </r>
  <r>
    <s v="Strategic Metals"/>
    <x v="7"/>
    <s v="Xinfa Group"/>
    <s v="Tsingshan Holding Group"/>
    <m/>
    <n v="1680"/>
    <n v="1680"/>
    <s v="Indonesia"/>
    <x v="6"/>
    <s v="The Juwan &amp; Taijing Projects represent a collaboration between Xinfa Group (one of China's largest smelters) and Tsingshan Holding Group. These two facilities are nearing completion at Weda Bay and the IMIP. The first phase of 430,000tpa has been energised, with an ultimate goal of 1Mtpa."/>
    <x v="4"/>
    <d v="2025-12-01T00:00:00"/>
    <s v="https://www.argusmedia.com/en/news-and-insights/latest-market-news/2768506-viewpoint-asean-aluminium-output-to-reach-2.7mn-t"/>
  </r>
  <r>
    <s v="Strategic Metals"/>
    <x v="7"/>
    <s v="Xinfa Group"/>
    <s v="Tsingshan Holding Group"/>
    <m/>
    <n v="1400"/>
    <n v="1400"/>
    <s v="Indonesia"/>
    <x v="6"/>
    <s v="The Juwan &amp; Taijing Projects represent a collaboration between Xinfa Group (one of China's largest smelters) and Tsingshan Holding Group. These two facilities are nearing completion at Weda Bay and the IMIP. The first phase of 430,000tpa has been energised, with an ultimate goal of 1Mtpa."/>
    <x v="4"/>
    <d v="2025-12-01T00:00:00"/>
    <s v="https://www.argusmedia.com/en/news-and-insights/latest-market-news/2768506-viewpoint-asean-aluminium-output-to-reach-2.7mn-t"/>
  </r>
  <r>
    <s v="Strategic Metals"/>
    <x v="7"/>
    <s v="Shandong Nanshan Aluminium"/>
    <m/>
    <m/>
    <n v="2800"/>
    <n v="2800"/>
    <s v="Indonesia"/>
    <x v="6"/>
    <s v="The Bintan Project is being developed by Shandong Nanshan Aluminium. This facility is located in the Galang Batang Special Economic Zone, with a phase I of 400,000tpa is expected online by end 2026, with a final planned capacity of 1mtpa."/>
    <x v="4"/>
    <d v="2025-12-01T00:00:00"/>
    <s v="https://www.argusmedia.com/en/news-and-insights/latest-market-news/2768506-viewpoint-asean-aluminium-output-to-reach-2.7mn-t"/>
  </r>
  <r>
    <m/>
    <x v="8"/>
    <s v="Xinfa Group"/>
    <m/>
    <n v="15000"/>
    <m/>
    <n v="15000"/>
    <s v="Kazakhstan"/>
    <x v="3"/>
    <s v="propose a US$15bn industrial park in the Pavlodar region of Kazakhstan, integrated from coal and bauxite mining to aluminium smelters, and downstream manufacturing of wires and smartphone components"/>
    <x v="2"/>
    <d v="2026-01-01T00:00:00"/>
    <m/>
  </r>
  <r>
    <m/>
    <x v="8"/>
    <m/>
    <m/>
    <m/>
    <m/>
    <n v="0"/>
    <m/>
    <x v="7"/>
    <m/>
    <x v="6"/>
    <m/>
    <m/>
  </r>
  <r>
    <m/>
    <x v="8"/>
    <m/>
    <m/>
    <m/>
    <m/>
    <n v="0"/>
    <m/>
    <x v="7"/>
    <m/>
    <x v="6"/>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F5DC89-BB8A-1C43-8400-0255F15A1419}" name="PivotTable4"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R13" firstHeaderRow="1" firstDataRow="2" firstDataCol="1"/>
  <pivotFields count="18">
    <pivotField axis="axisCol" showAll="0">
      <items count="19">
        <item x="9"/>
        <item x="10"/>
        <item x="11"/>
        <item x="12"/>
        <item x="14"/>
        <item x="8"/>
        <item x="4"/>
        <item x="5"/>
        <item x="1"/>
        <item x="7"/>
        <item h="1" m="1" x="17"/>
        <item x="15"/>
        <item x="3"/>
        <item x="6"/>
        <item x="13"/>
        <item x="0"/>
        <item x="2"/>
        <item x="16"/>
        <item t="default"/>
      </items>
    </pivotField>
    <pivotField showAll="0"/>
    <pivotField showAll="0"/>
    <pivotField showAll="0"/>
    <pivotField showAll="0"/>
    <pivotField showAll="0"/>
    <pivotField showAll="0"/>
    <pivotField dataField="1" showAll="0"/>
    <pivotField showAll="0"/>
    <pivotField showAll="0"/>
    <pivotField axis="axisRow" showAll="0" sortType="descending">
      <items count="13">
        <item m="1" x="11"/>
        <item x="4"/>
        <item x="3"/>
        <item x="2"/>
        <item x="5"/>
        <item h="1" m="1" x="9"/>
        <item x="7"/>
        <item x="1"/>
        <item h="1" m="1" x="10"/>
        <item h="1" x="8"/>
        <item x="6"/>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s>
  <rowFields count="1">
    <field x="10"/>
  </rowFields>
  <rowItems count="9">
    <i>
      <x v="7"/>
    </i>
    <i>
      <x v="3"/>
    </i>
    <i>
      <x v="11"/>
    </i>
    <i>
      <x v="4"/>
    </i>
    <i>
      <x v="1"/>
    </i>
    <i>
      <x v="6"/>
    </i>
    <i>
      <x v="2"/>
    </i>
    <i>
      <x v="10"/>
    </i>
    <i t="grand">
      <x/>
    </i>
  </rowItems>
  <colFields count="1">
    <field x="0"/>
  </colFields>
  <colItems count="17">
    <i>
      <x/>
    </i>
    <i>
      <x v="1"/>
    </i>
    <i>
      <x v="2"/>
    </i>
    <i>
      <x v="3"/>
    </i>
    <i>
      <x v="4"/>
    </i>
    <i>
      <x v="5"/>
    </i>
    <i>
      <x v="6"/>
    </i>
    <i>
      <x v="7"/>
    </i>
    <i>
      <x v="8"/>
    </i>
    <i>
      <x v="9"/>
    </i>
    <i>
      <x v="11"/>
    </i>
    <i>
      <x v="12"/>
    </i>
    <i>
      <x v="13"/>
    </i>
    <i>
      <x v="14"/>
    </i>
    <i>
      <x v="15"/>
    </i>
    <i>
      <x v="16"/>
    </i>
    <i t="grand">
      <x/>
    </i>
  </colItems>
  <dataFields count="1">
    <dataField name="Sum of Investment Total (US$m)" fld="7" baseField="0" baseItem="0" numFmtId="165"/>
  </dataFields>
  <formats count="1">
    <format dxfId="3">
      <pivotArea outline="0" collapsedLevelsAreSubtotals="1" fieldPosition="0"/>
    </format>
  </formats>
  <chartFormats count="43">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0" count="1" selected="0">
            <x v="12"/>
          </reference>
        </references>
      </pivotArea>
    </chartFormat>
    <chartFormat chart="2" format="13" series="1">
      <pivotArea type="data" outline="0" fieldPosition="0">
        <references count="2">
          <reference field="4294967294" count="1" selected="0">
            <x v="0"/>
          </reference>
          <reference field="0" count="1" selected="0">
            <x v="13"/>
          </reference>
        </references>
      </pivotArea>
    </chartFormat>
    <chartFormat chart="2" format="14" series="1">
      <pivotArea type="data" outline="0" fieldPosition="0">
        <references count="2">
          <reference field="4294967294" count="1" selected="0">
            <x v="0"/>
          </reference>
          <reference field="0" count="1" selected="0">
            <x v="14"/>
          </reference>
        </references>
      </pivotArea>
    </chartFormat>
    <chartFormat chart="2" format="15" series="1">
      <pivotArea type="data" outline="0" fieldPosition="0">
        <references count="2">
          <reference field="4294967294" count="1" selected="0">
            <x v="0"/>
          </reference>
          <reference field="0" count="1" selected="0">
            <x v="15"/>
          </reference>
        </references>
      </pivotArea>
    </chartFormat>
    <chartFormat chart="2" format="16" series="1">
      <pivotArea type="data" outline="0" fieldPosition="0">
        <references count="2">
          <reference field="4294967294" count="1" selected="0">
            <x v="0"/>
          </reference>
          <reference field="0" count="1" selected="0">
            <x v="16"/>
          </reference>
        </references>
      </pivotArea>
    </chartFormat>
    <chartFormat chart="2" format="17" series="1">
      <pivotArea type="data" outline="0" fieldPosition="0">
        <references count="2">
          <reference field="4294967294" count="1" selected="0">
            <x v="0"/>
          </reference>
          <reference field="10" count="1" selected="0">
            <x v="0"/>
          </reference>
        </references>
      </pivotArea>
    </chartFormat>
    <chartFormat chart="2" format="18" series="1">
      <pivotArea type="data" outline="0" fieldPosition="0">
        <references count="2">
          <reference field="4294967294" count="1" selected="0">
            <x v="0"/>
          </reference>
          <reference field="10" count="1" selected="0">
            <x v="1"/>
          </reference>
        </references>
      </pivotArea>
    </chartFormat>
    <chartFormat chart="2" format="19" series="1">
      <pivotArea type="data" outline="0" fieldPosition="0">
        <references count="2">
          <reference field="4294967294" count="1" selected="0">
            <x v="0"/>
          </reference>
          <reference field="10" count="1" selected="0">
            <x v="2"/>
          </reference>
        </references>
      </pivotArea>
    </chartFormat>
    <chartFormat chart="2" format="20" series="1">
      <pivotArea type="data" outline="0" fieldPosition="0">
        <references count="2">
          <reference field="4294967294" count="1" selected="0">
            <x v="0"/>
          </reference>
          <reference field="10" count="1" selected="0">
            <x v="3"/>
          </reference>
        </references>
      </pivotArea>
    </chartFormat>
    <chartFormat chart="2" format="21" series="1">
      <pivotArea type="data" outline="0" fieldPosition="0">
        <references count="2">
          <reference field="4294967294" count="1" selected="0">
            <x v="0"/>
          </reference>
          <reference field="10" count="1" selected="0">
            <x v="4"/>
          </reference>
        </references>
      </pivotArea>
    </chartFormat>
    <chartFormat chart="2" format="22" series="1">
      <pivotArea type="data" outline="0" fieldPosition="0">
        <references count="2">
          <reference field="4294967294" count="1" selected="0">
            <x v="0"/>
          </reference>
          <reference field="10" count="1" selected="0">
            <x v="5"/>
          </reference>
        </references>
      </pivotArea>
    </chartFormat>
    <chartFormat chart="2" format="23" series="1">
      <pivotArea type="data" outline="0" fieldPosition="0">
        <references count="2">
          <reference field="4294967294" count="1" selected="0">
            <x v="0"/>
          </reference>
          <reference field="10" count="1" selected="0">
            <x v="6"/>
          </reference>
        </references>
      </pivotArea>
    </chartFormat>
    <chartFormat chart="2" format="24" series="1">
      <pivotArea type="data" outline="0" fieldPosition="0">
        <references count="2">
          <reference field="4294967294" count="1" selected="0">
            <x v="0"/>
          </reference>
          <reference field="10" count="1" selected="0">
            <x v="7"/>
          </reference>
        </references>
      </pivotArea>
    </chartFormat>
    <chartFormat chart="2" format="25" series="1">
      <pivotArea type="data" outline="0" fieldPosition="0">
        <references count="2">
          <reference field="4294967294" count="1" selected="0">
            <x v="0"/>
          </reference>
          <reference field="10" count="1" selected="0">
            <x v="8"/>
          </reference>
        </references>
      </pivotArea>
    </chartFormat>
    <chartFormat chart="5" format="43" series="1">
      <pivotArea type="data" outline="0" fieldPosition="0">
        <references count="2">
          <reference field="4294967294" count="1" selected="0">
            <x v="0"/>
          </reference>
          <reference field="0" count="1" selected="0">
            <x v="0"/>
          </reference>
        </references>
      </pivotArea>
    </chartFormat>
    <chartFormat chart="5" format="44" series="1">
      <pivotArea type="data" outline="0" fieldPosition="0">
        <references count="2">
          <reference field="4294967294" count="1" selected="0">
            <x v="0"/>
          </reference>
          <reference field="0" count="1" selected="0">
            <x v="1"/>
          </reference>
        </references>
      </pivotArea>
    </chartFormat>
    <chartFormat chart="5" format="45" series="1">
      <pivotArea type="data" outline="0" fieldPosition="0">
        <references count="2">
          <reference field="4294967294" count="1" selected="0">
            <x v="0"/>
          </reference>
          <reference field="0" count="1" selected="0">
            <x v="2"/>
          </reference>
        </references>
      </pivotArea>
    </chartFormat>
    <chartFormat chart="5" format="46" series="1">
      <pivotArea type="data" outline="0" fieldPosition="0">
        <references count="2">
          <reference field="4294967294" count="1" selected="0">
            <x v="0"/>
          </reference>
          <reference field="0" count="1" selected="0">
            <x v="3"/>
          </reference>
        </references>
      </pivotArea>
    </chartFormat>
    <chartFormat chart="5" format="47" series="1">
      <pivotArea type="data" outline="0" fieldPosition="0">
        <references count="2">
          <reference field="4294967294" count="1" selected="0">
            <x v="0"/>
          </reference>
          <reference field="0" count="1" selected="0">
            <x v="4"/>
          </reference>
        </references>
      </pivotArea>
    </chartFormat>
    <chartFormat chart="5" format="48" series="1">
      <pivotArea type="data" outline="0" fieldPosition="0">
        <references count="2">
          <reference field="4294967294" count="1" selected="0">
            <x v="0"/>
          </reference>
          <reference field="0" count="1" selected="0">
            <x v="5"/>
          </reference>
        </references>
      </pivotArea>
    </chartFormat>
    <chartFormat chart="5" format="49" series="1">
      <pivotArea type="data" outline="0" fieldPosition="0">
        <references count="2">
          <reference field="4294967294" count="1" selected="0">
            <x v="0"/>
          </reference>
          <reference field="0" count="1" selected="0">
            <x v="6"/>
          </reference>
        </references>
      </pivotArea>
    </chartFormat>
    <chartFormat chart="5" format="50" series="1">
      <pivotArea type="data" outline="0" fieldPosition="0">
        <references count="2">
          <reference field="4294967294" count="1" selected="0">
            <x v="0"/>
          </reference>
          <reference field="0" count="1" selected="0">
            <x v="7"/>
          </reference>
        </references>
      </pivotArea>
    </chartFormat>
    <chartFormat chart="5" format="51" series="1">
      <pivotArea type="data" outline="0" fieldPosition="0">
        <references count="2">
          <reference field="4294967294" count="1" selected="0">
            <x v="0"/>
          </reference>
          <reference field="0" count="1" selected="0">
            <x v="8"/>
          </reference>
        </references>
      </pivotArea>
    </chartFormat>
    <chartFormat chart="5" format="52" series="1">
      <pivotArea type="data" outline="0" fieldPosition="0">
        <references count="2">
          <reference field="4294967294" count="1" selected="0">
            <x v="0"/>
          </reference>
          <reference field="0" count="1" selected="0">
            <x v="9"/>
          </reference>
        </references>
      </pivotArea>
    </chartFormat>
    <chartFormat chart="5" format="53" series="1">
      <pivotArea type="data" outline="0" fieldPosition="0">
        <references count="2">
          <reference field="4294967294" count="1" selected="0">
            <x v="0"/>
          </reference>
          <reference field="0" count="1" selected="0">
            <x v="10"/>
          </reference>
        </references>
      </pivotArea>
    </chartFormat>
    <chartFormat chart="5" format="54" series="1">
      <pivotArea type="data" outline="0" fieldPosition="0">
        <references count="2">
          <reference field="4294967294" count="1" selected="0">
            <x v="0"/>
          </reference>
          <reference field="0" count="1" selected="0">
            <x v="11"/>
          </reference>
        </references>
      </pivotArea>
    </chartFormat>
    <chartFormat chart="5" format="55" series="1">
      <pivotArea type="data" outline="0" fieldPosition="0">
        <references count="2">
          <reference field="4294967294" count="1" selected="0">
            <x v="0"/>
          </reference>
          <reference field="0" count="1" selected="0">
            <x v="12"/>
          </reference>
        </references>
      </pivotArea>
    </chartFormat>
    <chartFormat chart="5" format="56" series="1">
      <pivotArea type="data" outline="0" fieldPosition="0">
        <references count="2">
          <reference field="4294967294" count="1" selected="0">
            <x v="0"/>
          </reference>
          <reference field="0" count="1" selected="0">
            <x v="13"/>
          </reference>
        </references>
      </pivotArea>
    </chartFormat>
    <chartFormat chart="5" format="57" series="1">
      <pivotArea type="data" outline="0" fieldPosition="0">
        <references count="2">
          <reference field="4294967294" count="1" selected="0">
            <x v="0"/>
          </reference>
          <reference field="0" count="1" selected="0">
            <x v="14"/>
          </reference>
        </references>
      </pivotArea>
    </chartFormat>
    <chartFormat chart="5" format="58" series="1">
      <pivotArea type="data" outline="0" fieldPosition="0">
        <references count="2">
          <reference field="4294967294" count="1" selected="0">
            <x v="0"/>
          </reference>
          <reference field="0" count="1" selected="0">
            <x v="15"/>
          </reference>
        </references>
      </pivotArea>
    </chartFormat>
    <chartFormat chart="5" format="59" series="1">
      <pivotArea type="data" outline="0" fieldPosition="0">
        <references count="2">
          <reference field="4294967294" count="1" selected="0">
            <x v="0"/>
          </reference>
          <reference field="0" count="1" selected="0">
            <x v="1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CE0A967-86C2-4249-8F86-D970D3C94D86}" name="PivotTable4"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J21" firstHeaderRow="1" firstDataRow="2" firstDataCol="1"/>
  <pivotFields count="18">
    <pivotField axis="axisRow" showAll="0" sortType="descending">
      <items count="19">
        <item x="9"/>
        <item x="10"/>
        <item x="11"/>
        <item x="12"/>
        <item x="14"/>
        <item x="8"/>
        <item x="4"/>
        <item x="5"/>
        <item x="1"/>
        <item x="7"/>
        <item h="1" m="1" x="17"/>
        <item x="15"/>
        <item x="3"/>
        <item x="6"/>
        <item x="13"/>
        <item x="0"/>
        <item x="2"/>
        <item x="1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dataField="1" showAll="0"/>
    <pivotField showAll="0"/>
    <pivotField showAll="0"/>
    <pivotField axis="axisCol" showAll="0">
      <items count="13">
        <item m="1" x="11"/>
        <item x="4"/>
        <item x="3"/>
        <item x="2"/>
        <item x="5"/>
        <item h="1" m="1" x="9"/>
        <item x="7"/>
        <item x="1"/>
        <item h="1" m="1" x="10"/>
        <item h="1" x="8"/>
        <item x="6"/>
        <item x="0"/>
        <item t="default"/>
      </items>
    </pivotField>
    <pivotField showAll="0"/>
    <pivotField showAll="0"/>
    <pivotField showAll="0"/>
    <pivotField showAll="0"/>
    <pivotField showAll="0"/>
    <pivotField showAll="0"/>
    <pivotField showAll="0"/>
  </pivotFields>
  <rowFields count="1">
    <field x="0"/>
  </rowFields>
  <rowItems count="17">
    <i>
      <x/>
    </i>
    <i>
      <x v="1"/>
    </i>
    <i>
      <x v="11"/>
    </i>
    <i>
      <x v="13"/>
    </i>
    <i>
      <x v="12"/>
    </i>
    <i>
      <x v="9"/>
    </i>
    <i>
      <x v="15"/>
    </i>
    <i>
      <x v="5"/>
    </i>
    <i>
      <x v="3"/>
    </i>
    <i>
      <x v="4"/>
    </i>
    <i>
      <x v="16"/>
    </i>
    <i>
      <x v="6"/>
    </i>
    <i>
      <x v="8"/>
    </i>
    <i>
      <x v="7"/>
    </i>
    <i>
      <x v="14"/>
    </i>
    <i>
      <x v="2"/>
    </i>
    <i t="grand">
      <x/>
    </i>
  </rowItems>
  <colFields count="1">
    <field x="10"/>
  </colFields>
  <colItems count="9">
    <i>
      <x v="1"/>
    </i>
    <i>
      <x v="2"/>
    </i>
    <i>
      <x v="3"/>
    </i>
    <i>
      <x v="4"/>
    </i>
    <i>
      <x v="6"/>
    </i>
    <i>
      <x v="7"/>
    </i>
    <i>
      <x v="10"/>
    </i>
    <i>
      <x v="11"/>
    </i>
    <i t="grand">
      <x/>
    </i>
  </colItems>
  <dataFields count="1">
    <dataField name="Sum of Investment Total (US$m)" fld="7" baseField="0" baseItem="0" numFmtId="165"/>
  </dataFields>
  <formats count="1">
    <format dxfId="2">
      <pivotArea outline="0" collapsedLevelsAreSubtotals="1" fieldPosition="0"/>
    </format>
  </formats>
  <chartFormats count="88">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2">
          <reference field="4294967294" count="1" selected="0">
            <x v="0"/>
          </reference>
          <reference field="0" count="1" selected="0">
            <x v="1"/>
          </reference>
        </references>
      </pivotArea>
    </chartFormat>
    <chartFormat chart="1" format="2" series="1">
      <pivotArea type="data" outline="0" fieldPosition="0">
        <references count="2">
          <reference field="4294967294" count="1" selected="0">
            <x v="0"/>
          </reference>
          <reference field="0" count="1" selected="0">
            <x v="2"/>
          </reference>
        </references>
      </pivotArea>
    </chartFormat>
    <chartFormat chart="1" format="3" series="1">
      <pivotArea type="data" outline="0" fieldPosition="0">
        <references count="2">
          <reference field="4294967294" count="1" selected="0">
            <x v="0"/>
          </reference>
          <reference field="0" count="1" selected="0">
            <x v="3"/>
          </reference>
        </references>
      </pivotArea>
    </chartFormat>
    <chartFormat chart="1" format="4" series="1">
      <pivotArea type="data" outline="0" fieldPosition="0">
        <references count="2">
          <reference field="4294967294" count="1" selected="0">
            <x v="0"/>
          </reference>
          <reference field="0" count="1" selected="0">
            <x v="4"/>
          </reference>
        </references>
      </pivotArea>
    </chartFormat>
    <chartFormat chart="1" format="5" series="1">
      <pivotArea type="data" outline="0" fieldPosition="0">
        <references count="2">
          <reference field="4294967294" count="1" selected="0">
            <x v="0"/>
          </reference>
          <reference field="0" count="1" selected="0">
            <x v="5"/>
          </reference>
        </references>
      </pivotArea>
    </chartFormat>
    <chartFormat chart="1" format="6" series="1">
      <pivotArea type="data" outline="0" fieldPosition="0">
        <references count="2">
          <reference field="4294967294" count="1" selected="0">
            <x v="0"/>
          </reference>
          <reference field="0" count="1" selected="0">
            <x v="6"/>
          </reference>
        </references>
      </pivotArea>
    </chartFormat>
    <chartFormat chart="1" format="7" series="1">
      <pivotArea type="data" outline="0" fieldPosition="0">
        <references count="2">
          <reference field="4294967294" count="1" selected="0">
            <x v="0"/>
          </reference>
          <reference field="0" count="1" selected="0">
            <x v="7"/>
          </reference>
        </references>
      </pivotArea>
    </chartFormat>
    <chartFormat chart="1" format="8" series="1">
      <pivotArea type="data" outline="0" fieldPosition="0">
        <references count="2">
          <reference field="4294967294" count="1" selected="0">
            <x v="0"/>
          </reference>
          <reference field="0" count="1" selected="0">
            <x v="8"/>
          </reference>
        </references>
      </pivotArea>
    </chartFormat>
    <chartFormat chart="1" format="9" series="1">
      <pivotArea type="data" outline="0" fieldPosition="0">
        <references count="2">
          <reference field="4294967294" count="1" selected="0">
            <x v="0"/>
          </reference>
          <reference field="0" count="1" selected="0">
            <x v="9"/>
          </reference>
        </references>
      </pivotArea>
    </chartFormat>
    <chartFormat chart="1" format="10" series="1">
      <pivotArea type="data" outline="0" fieldPosition="0">
        <references count="2">
          <reference field="4294967294" count="1" selected="0">
            <x v="0"/>
          </reference>
          <reference field="0" count="1" selected="0">
            <x v="10"/>
          </reference>
        </references>
      </pivotArea>
    </chartFormat>
    <chartFormat chart="1" format="11" series="1">
      <pivotArea type="data" outline="0" fieldPosition="0">
        <references count="2">
          <reference field="4294967294" count="1" selected="0">
            <x v="0"/>
          </reference>
          <reference field="0" count="1" selected="0">
            <x v="11"/>
          </reference>
        </references>
      </pivotArea>
    </chartFormat>
    <chartFormat chart="1" format="12" series="1">
      <pivotArea type="data" outline="0" fieldPosition="0">
        <references count="2">
          <reference field="4294967294" count="1" selected="0">
            <x v="0"/>
          </reference>
          <reference field="0" count="1" selected="0">
            <x v="12"/>
          </reference>
        </references>
      </pivotArea>
    </chartFormat>
    <chartFormat chart="1" format="13" series="1">
      <pivotArea type="data" outline="0" fieldPosition="0">
        <references count="2">
          <reference field="4294967294" count="1" selected="0">
            <x v="0"/>
          </reference>
          <reference field="0" count="1" selected="0">
            <x v="13"/>
          </reference>
        </references>
      </pivotArea>
    </chartFormat>
    <chartFormat chart="1" format="14" series="1">
      <pivotArea type="data" outline="0" fieldPosition="0">
        <references count="2">
          <reference field="4294967294" count="1" selected="0">
            <x v="0"/>
          </reference>
          <reference field="0" count="1" selected="0">
            <x v="14"/>
          </reference>
        </references>
      </pivotArea>
    </chartFormat>
    <chartFormat chart="1" format="15" series="1">
      <pivotArea type="data" outline="0" fieldPosition="0">
        <references count="2">
          <reference field="4294967294" count="1" selected="0">
            <x v="0"/>
          </reference>
          <reference field="0" count="1" selected="0">
            <x v="15"/>
          </reference>
        </references>
      </pivotArea>
    </chartFormat>
    <chartFormat chart="1" format="16" series="1">
      <pivotArea type="data" outline="0" fieldPosition="0">
        <references count="2">
          <reference field="4294967294" count="1" selected="0">
            <x v="0"/>
          </reference>
          <reference field="0" count="1" selected="0">
            <x v="16"/>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5"/>
          </reference>
        </references>
      </pivotArea>
    </chartFormat>
    <chartFormat chart="0" format="6" series="1">
      <pivotArea type="data" outline="0" fieldPosition="0">
        <references count="2">
          <reference field="4294967294" count="1" selected="0">
            <x v="0"/>
          </reference>
          <reference field="0" count="1" selected="0">
            <x v="6"/>
          </reference>
        </references>
      </pivotArea>
    </chartFormat>
    <chartFormat chart="0" format="7" series="1">
      <pivotArea type="data" outline="0" fieldPosition="0">
        <references count="2">
          <reference field="4294967294" count="1" selected="0">
            <x v="0"/>
          </reference>
          <reference field="0" count="1" selected="0">
            <x v="7"/>
          </reference>
        </references>
      </pivotArea>
    </chartFormat>
    <chartFormat chart="0" format="8" series="1">
      <pivotArea type="data" outline="0" fieldPosition="0">
        <references count="2">
          <reference field="4294967294" count="1" selected="0">
            <x v="0"/>
          </reference>
          <reference field="0" count="1" selected="0">
            <x v="8"/>
          </reference>
        </references>
      </pivotArea>
    </chartFormat>
    <chartFormat chart="0" format="9" series="1">
      <pivotArea type="data" outline="0" fieldPosition="0">
        <references count="2">
          <reference field="4294967294" count="1" selected="0">
            <x v="0"/>
          </reference>
          <reference field="0" count="1" selected="0">
            <x v="9"/>
          </reference>
        </references>
      </pivotArea>
    </chartFormat>
    <chartFormat chart="0" format="10" series="1">
      <pivotArea type="data" outline="0" fieldPosition="0">
        <references count="2">
          <reference field="4294967294" count="1" selected="0">
            <x v="0"/>
          </reference>
          <reference field="0" count="1" selected="0">
            <x v="10"/>
          </reference>
        </references>
      </pivotArea>
    </chartFormat>
    <chartFormat chart="0" format="11" series="1">
      <pivotArea type="data" outline="0" fieldPosition="0">
        <references count="2">
          <reference field="4294967294" count="1" selected="0">
            <x v="0"/>
          </reference>
          <reference field="0" count="1" selected="0">
            <x v="11"/>
          </reference>
        </references>
      </pivotArea>
    </chartFormat>
    <chartFormat chart="0" format="12" series="1">
      <pivotArea type="data" outline="0" fieldPosition="0">
        <references count="2">
          <reference field="4294967294" count="1" selected="0">
            <x v="0"/>
          </reference>
          <reference field="0" count="1" selected="0">
            <x v="12"/>
          </reference>
        </references>
      </pivotArea>
    </chartFormat>
    <chartFormat chart="0" format="13" series="1">
      <pivotArea type="data" outline="0" fieldPosition="0">
        <references count="2">
          <reference field="4294967294" count="1" selected="0">
            <x v="0"/>
          </reference>
          <reference field="0" count="1" selected="0">
            <x v="13"/>
          </reference>
        </references>
      </pivotArea>
    </chartFormat>
    <chartFormat chart="0" format="14" series="1">
      <pivotArea type="data" outline="0" fieldPosition="0">
        <references count="2">
          <reference field="4294967294" count="1" selected="0">
            <x v="0"/>
          </reference>
          <reference field="0" count="1" selected="0">
            <x v="14"/>
          </reference>
        </references>
      </pivotArea>
    </chartFormat>
    <chartFormat chart="0" format="15" series="1">
      <pivotArea type="data" outline="0" fieldPosition="0">
        <references count="2">
          <reference field="4294967294" count="1" selected="0">
            <x v="0"/>
          </reference>
          <reference field="0" count="1" selected="0">
            <x v="15"/>
          </reference>
        </references>
      </pivotArea>
    </chartFormat>
    <chartFormat chart="0" format="16" series="1">
      <pivotArea type="data" outline="0" fieldPosition="0">
        <references count="2">
          <reference field="4294967294" count="1" selected="0">
            <x v="0"/>
          </reference>
          <reference field="0" count="1" selected="0">
            <x v="16"/>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0" count="1" selected="0">
            <x v="12"/>
          </reference>
        </references>
      </pivotArea>
    </chartFormat>
    <chartFormat chart="2" format="13" series="1">
      <pivotArea type="data" outline="0" fieldPosition="0">
        <references count="2">
          <reference field="4294967294" count="1" selected="0">
            <x v="0"/>
          </reference>
          <reference field="0" count="1" selected="0">
            <x v="13"/>
          </reference>
        </references>
      </pivotArea>
    </chartFormat>
    <chartFormat chart="2" format="14" series="1">
      <pivotArea type="data" outline="0" fieldPosition="0">
        <references count="2">
          <reference field="4294967294" count="1" selected="0">
            <x v="0"/>
          </reference>
          <reference field="0" count="1" selected="0">
            <x v="14"/>
          </reference>
        </references>
      </pivotArea>
    </chartFormat>
    <chartFormat chart="2" format="15" series="1">
      <pivotArea type="data" outline="0" fieldPosition="0">
        <references count="2">
          <reference field="4294967294" count="1" selected="0">
            <x v="0"/>
          </reference>
          <reference field="0" count="1" selected="0">
            <x v="15"/>
          </reference>
        </references>
      </pivotArea>
    </chartFormat>
    <chartFormat chart="2" format="16" series="1">
      <pivotArea type="data" outline="0" fieldPosition="0">
        <references count="2">
          <reference field="4294967294" count="1" selected="0">
            <x v="0"/>
          </reference>
          <reference field="0" count="1" selected="0">
            <x v="16"/>
          </reference>
        </references>
      </pivotArea>
    </chartFormat>
    <chartFormat chart="2" format="17" series="1">
      <pivotArea type="data" outline="0" fieldPosition="0">
        <references count="2">
          <reference field="4294967294" count="1" selected="0">
            <x v="0"/>
          </reference>
          <reference field="10" count="1" selected="0">
            <x v="0"/>
          </reference>
        </references>
      </pivotArea>
    </chartFormat>
    <chartFormat chart="2" format="18" series="1">
      <pivotArea type="data" outline="0" fieldPosition="0">
        <references count="2">
          <reference field="4294967294" count="1" selected="0">
            <x v="0"/>
          </reference>
          <reference field="10" count="1" selected="0">
            <x v="1"/>
          </reference>
        </references>
      </pivotArea>
    </chartFormat>
    <chartFormat chart="2" format="19" series="1">
      <pivotArea type="data" outline="0" fieldPosition="0">
        <references count="2">
          <reference field="4294967294" count="1" selected="0">
            <x v="0"/>
          </reference>
          <reference field="10" count="1" selected="0">
            <x v="2"/>
          </reference>
        </references>
      </pivotArea>
    </chartFormat>
    <chartFormat chart="2" format="20" series="1">
      <pivotArea type="data" outline="0" fieldPosition="0">
        <references count="2">
          <reference field="4294967294" count="1" selected="0">
            <x v="0"/>
          </reference>
          <reference field="10" count="1" selected="0">
            <x v="3"/>
          </reference>
        </references>
      </pivotArea>
    </chartFormat>
    <chartFormat chart="2" format="21" series="1">
      <pivotArea type="data" outline="0" fieldPosition="0">
        <references count="2">
          <reference field="4294967294" count="1" selected="0">
            <x v="0"/>
          </reference>
          <reference field="10" count="1" selected="0">
            <x v="4"/>
          </reference>
        </references>
      </pivotArea>
    </chartFormat>
    <chartFormat chart="2" format="22" series="1">
      <pivotArea type="data" outline="0" fieldPosition="0">
        <references count="2">
          <reference field="4294967294" count="1" selected="0">
            <x v="0"/>
          </reference>
          <reference field="10" count="1" selected="0">
            <x v="5"/>
          </reference>
        </references>
      </pivotArea>
    </chartFormat>
    <chartFormat chart="2" format="23" series="1">
      <pivotArea type="data" outline="0" fieldPosition="0">
        <references count="2">
          <reference field="4294967294" count="1" selected="0">
            <x v="0"/>
          </reference>
          <reference field="10" count="1" selected="0">
            <x v="6"/>
          </reference>
        </references>
      </pivotArea>
    </chartFormat>
    <chartFormat chart="2" format="24" series="1">
      <pivotArea type="data" outline="0" fieldPosition="0">
        <references count="2">
          <reference field="4294967294" count="1" selected="0">
            <x v="0"/>
          </reference>
          <reference field="10" count="1" selected="0">
            <x v="7"/>
          </reference>
        </references>
      </pivotArea>
    </chartFormat>
    <chartFormat chart="2" format="25" series="1">
      <pivotArea type="data" outline="0" fieldPosition="0">
        <references count="2">
          <reference field="4294967294" count="1" selected="0">
            <x v="0"/>
          </reference>
          <reference field="10" count="1" selected="0">
            <x v="8"/>
          </reference>
        </references>
      </pivotArea>
    </chartFormat>
    <chartFormat chart="5" format="43" series="1">
      <pivotArea type="data" outline="0" fieldPosition="0">
        <references count="2">
          <reference field="4294967294" count="1" selected="0">
            <x v="0"/>
          </reference>
          <reference field="0" count="1" selected="0">
            <x v="0"/>
          </reference>
        </references>
      </pivotArea>
    </chartFormat>
    <chartFormat chart="5" format="44" series="1">
      <pivotArea type="data" outline="0" fieldPosition="0">
        <references count="2">
          <reference field="4294967294" count="1" selected="0">
            <x v="0"/>
          </reference>
          <reference field="0" count="1" selected="0">
            <x v="1"/>
          </reference>
        </references>
      </pivotArea>
    </chartFormat>
    <chartFormat chart="5" format="45" series="1">
      <pivotArea type="data" outline="0" fieldPosition="0">
        <references count="2">
          <reference field="4294967294" count="1" selected="0">
            <x v="0"/>
          </reference>
          <reference field="0" count="1" selected="0">
            <x v="2"/>
          </reference>
        </references>
      </pivotArea>
    </chartFormat>
    <chartFormat chart="5" format="46" series="1">
      <pivotArea type="data" outline="0" fieldPosition="0">
        <references count="2">
          <reference field="4294967294" count="1" selected="0">
            <x v="0"/>
          </reference>
          <reference field="0" count="1" selected="0">
            <x v="3"/>
          </reference>
        </references>
      </pivotArea>
    </chartFormat>
    <chartFormat chart="5" format="47" series="1">
      <pivotArea type="data" outline="0" fieldPosition="0">
        <references count="2">
          <reference field="4294967294" count="1" selected="0">
            <x v="0"/>
          </reference>
          <reference field="0" count="1" selected="0">
            <x v="4"/>
          </reference>
        </references>
      </pivotArea>
    </chartFormat>
    <chartFormat chart="5" format="48" series="1">
      <pivotArea type="data" outline="0" fieldPosition="0">
        <references count="2">
          <reference field="4294967294" count="1" selected="0">
            <x v="0"/>
          </reference>
          <reference field="0" count="1" selected="0">
            <x v="5"/>
          </reference>
        </references>
      </pivotArea>
    </chartFormat>
    <chartFormat chart="5" format="49" series="1">
      <pivotArea type="data" outline="0" fieldPosition="0">
        <references count="2">
          <reference field="4294967294" count="1" selected="0">
            <x v="0"/>
          </reference>
          <reference field="0" count="1" selected="0">
            <x v="6"/>
          </reference>
        </references>
      </pivotArea>
    </chartFormat>
    <chartFormat chart="5" format="50" series="1">
      <pivotArea type="data" outline="0" fieldPosition="0">
        <references count="2">
          <reference field="4294967294" count="1" selected="0">
            <x v="0"/>
          </reference>
          <reference field="0" count="1" selected="0">
            <x v="7"/>
          </reference>
        </references>
      </pivotArea>
    </chartFormat>
    <chartFormat chart="5" format="51" series="1">
      <pivotArea type="data" outline="0" fieldPosition="0">
        <references count="2">
          <reference field="4294967294" count="1" selected="0">
            <x v="0"/>
          </reference>
          <reference field="0" count="1" selected="0">
            <x v="8"/>
          </reference>
        </references>
      </pivotArea>
    </chartFormat>
    <chartFormat chart="5" format="52" series="1">
      <pivotArea type="data" outline="0" fieldPosition="0">
        <references count="2">
          <reference field="4294967294" count="1" selected="0">
            <x v="0"/>
          </reference>
          <reference field="0" count="1" selected="0">
            <x v="9"/>
          </reference>
        </references>
      </pivotArea>
    </chartFormat>
    <chartFormat chart="5" format="53" series="1">
      <pivotArea type="data" outline="0" fieldPosition="0">
        <references count="2">
          <reference field="4294967294" count="1" selected="0">
            <x v="0"/>
          </reference>
          <reference field="0" count="1" selected="0">
            <x v="10"/>
          </reference>
        </references>
      </pivotArea>
    </chartFormat>
    <chartFormat chart="5" format="54" series="1">
      <pivotArea type="data" outline="0" fieldPosition="0">
        <references count="2">
          <reference field="4294967294" count="1" selected="0">
            <x v="0"/>
          </reference>
          <reference field="0" count="1" selected="0">
            <x v="11"/>
          </reference>
        </references>
      </pivotArea>
    </chartFormat>
    <chartFormat chart="5" format="55" series="1">
      <pivotArea type="data" outline="0" fieldPosition="0">
        <references count="2">
          <reference field="4294967294" count="1" selected="0">
            <x v="0"/>
          </reference>
          <reference field="0" count="1" selected="0">
            <x v="12"/>
          </reference>
        </references>
      </pivotArea>
    </chartFormat>
    <chartFormat chart="5" format="56" series="1">
      <pivotArea type="data" outline="0" fieldPosition="0">
        <references count="2">
          <reference field="4294967294" count="1" selected="0">
            <x v="0"/>
          </reference>
          <reference field="0" count="1" selected="0">
            <x v="13"/>
          </reference>
        </references>
      </pivotArea>
    </chartFormat>
    <chartFormat chart="5" format="57" series="1">
      <pivotArea type="data" outline="0" fieldPosition="0">
        <references count="2">
          <reference field="4294967294" count="1" selected="0">
            <x v="0"/>
          </reference>
          <reference field="0" count="1" selected="0">
            <x v="14"/>
          </reference>
        </references>
      </pivotArea>
    </chartFormat>
    <chartFormat chart="5" format="58" series="1">
      <pivotArea type="data" outline="0" fieldPosition="0">
        <references count="2">
          <reference field="4294967294" count="1" selected="0">
            <x v="0"/>
          </reference>
          <reference field="0" count="1" selected="0">
            <x v="15"/>
          </reference>
        </references>
      </pivotArea>
    </chartFormat>
    <chartFormat chart="5" format="59" series="1">
      <pivotArea type="data" outline="0" fieldPosition="0">
        <references count="2">
          <reference field="4294967294" count="1" selected="0">
            <x v="0"/>
          </reference>
          <reference field="0" count="1" selected="0">
            <x v="16"/>
          </reference>
        </references>
      </pivotArea>
    </chartFormat>
    <chartFormat chart="5" format="60" series="1">
      <pivotArea type="data" outline="0" fieldPosition="0">
        <references count="2">
          <reference field="4294967294" count="1" selected="0">
            <x v="0"/>
          </reference>
          <reference field="10" count="1" selected="0">
            <x v="0"/>
          </reference>
        </references>
      </pivotArea>
    </chartFormat>
    <chartFormat chart="5" format="61" series="1">
      <pivotArea type="data" outline="0" fieldPosition="0">
        <references count="2">
          <reference field="4294967294" count="1" selected="0">
            <x v="0"/>
          </reference>
          <reference field="10" count="1" selected="0">
            <x v="1"/>
          </reference>
        </references>
      </pivotArea>
    </chartFormat>
    <chartFormat chart="5" format="62" series="1">
      <pivotArea type="data" outline="0" fieldPosition="0">
        <references count="2">
          <reference field="4294967294" count="1" selected="0">
            <x v="0"/>
          </reference>
          <reference field="10" count="1" selected="0">
            <x v="2"/>
          </reference>
        </references>
      </pivotArea>
    </chartFormat>
    <chartFormat chart="5" format="63" series="1">
      <pivotArea type="data" outline="0" fieldPosition="0">
        <references count="2">
          <reference field="4294967294" count="1" selected="0">
            <x v="0"/>
          </reference>
          <reference field="10" count="1" selected="0">
            <x v="3"/>
          </reference>
        </references>
      </pivotArea>
    </chartFormat>
    <chartFormat chart="5" format="64" series="1">
      <pivotArea type="data" outline="0" fieldPosition="0">
        <references count="2">
          <reference field="4294967294" count="1" selected="0">
            <x v="0"/>
          </reference>
          <reference field="10" count="1" selected="0">
            <x v="4"/>
          </reference>
        </references>
      </pivotArea>
    </chartFormat>
    <chartFormat chart="5" format="65" series="1">
      <pivotArea type="data" outline="0" fieldPosition="0">
        <references count="2">
          <reference field="4294967294" count="1" selected="0">
            <x v="0"/>
          </reference>
          <reference field="10" count="1" selected="0">
            <x v="5"/>
          </reference>
        </references>
      </pivotArea>
    </chartFormat>
    <chartFormat chart="5" format="66" series="1">
      <pivotArea type="data" outline="0" fieldPosition="0">
        <references count="2">
          <reference field="4294967294" count="1" selected="0">
            <x v="0"/>
          </reference>
          <reference field="10" count="1" selected="0">
            <x v="6"/>
          </reference>
        </references>
      </pivotArea>
    </chartFormat>
    <chartFormat chart="5" format="67" series="1">
      <pivotArea type="data" outline="0" fieldPosition="0">
        <references count="2">
          <reference field="4294967294" count="1" selected="0">
            <x v="0"/>
          </reference>
          <reference field="10" count="1" selected="0">
            <x v="7"/>
          </reference>
        </references>
      </pivotArea>
    </chartFormat>
    <chartFormat chart="5" format="68" series="1">
      <pivotArea type="data" outline="0" fieldPosition="0">
        <references count="2">
          <reference field="4294967294" count="1" selected="0">
            <x v="0"/>
          </reference>
          <reference field="10" count="1" selected="0">
            <x v="8"/>
          </reference>
        </references>
      </pivotArea>
    </chartFormat>
    <chartFormat chart="5" format="69" series="1">
      <pivotArea type="data" outline="0" fieldPosition="0">
        <references count="2">
          <reference field="4294967294" count="1" selected="0">
            <x v="0"/>
          </reference>
          <reference field="10" count="1" selected="0">
            <x v="10"/>
          </reference>
        </references>
      </pivotArea>
    </chartFormat>
    <chartFormat chart="5" format="70" series="1">
      <pivotArea type="data" outline="0" fieldPosition="0">
        <references count="2">
          <reference field="4294967294" count="1" selected="0">
            <x v="0"/>
          </reference>
          <reference field="10"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F735BDF-CE83-EA4F-A712-D7ED8CE08A13}" name="PivotTable3"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R14" firstHeaderRow="1" firstDataRow="2" firstDataCol="1"/>
  <pivotFields count="18">
    <pivotField axis="axisCol" showAll="0">
      <items count="19">
        <item x="9"/>
        <item x="10"/>
        <item x="11"/>
        <item x="12"/>
        <item x="14"/>
        <item x="8"/>
        <item x="4"/>
        <item x="5"/>
        <item x="1"/>
        <item x="7"/>
        <item m="1" x="17"/>
        <item x="15"/>
        <item x="3"/>
        <item x="6"/>
        <item x="13"/>
        <item x="0"/>
        <item x="2"/>
        <item h="1" x="16"/>
        <item t="default"/>
      </items>
    </pivotField>
    <pivotField showAll="0"/>
    <pivotField showAll="0"/>
    <pivotField showAll="0"/>
    <pivotField showAll="0"/>
    <pivotField showAll="0"/>
    <pivotField showAll="0"/>
    <pivotField dataField="1" showAll="0"/>
    <pivotField showAll="0"/>
    <pivotField showAll="0"/>
    <pivotField axis="axisRow" showAll="0">
      <items count="13">
        <item x="0"/>
        <item m="1" x="11"/>
        <item x="6"/>
        <item x="4"/>
        <item x="3"/>
        <item x="2"/>
        <item x="5"/>
        <item m="1" x="9"/>
        <item x="7"/>
        <item x="1"/>
        <item m="1" x="10"/>
        <item x="8"/>
        <item t="default"/>
      </items>
    </pivotField>
    <pivotField showAll="0"/>
    <pivotField showAll="0"/>
    <pivotField showAll="0"/>
    <pivotField showAll="0"/>
    <pivotField showAll="0"/>
    <pivotField showAll="0"/>
    <pivotField showAll="0"/>
  </pivotFields>
  <rowFields count="1">
    <field x="10"/>
  </rowFields>
  <rowItems count="10">
    <i>
      <x/>
    </i>
    <i>
      <x v="2"/>
    </i>
    <i>
      <x v="3"/>
    </i>
    <i>
      <x v="4"/>
    </i>
    <i>
      <x v="5"/>
    </i>
    <i>
      <x v="6"/>
    </i>
    <i>
      <x v="8"/>
    </i>
    <i>
      <x v="9"/>
    </i>
    <i>
      <x v="11"/>
    </i>
    <i t="grand">
      <x/>
    </i>
  </rowItems>
  <colFields count="1">
    <field x="0"/>
  </colFields>
  <colItems count="17">
    <i>
      <x/>
    </i>
    <i>
      <x v="1"/>
    </i>
    <i>
      <x v="2"/>
    </i>
    <i>
      <x v="3"/>
    </i>
    <i>
      <x v="4"/>
    </i>
    <i>
      <x v="5"/>
    </i>
    <i>
      <x v="6"/>
    </i>
    <i>
      <x v="7"/>
    </i>
    <i>
      <x v="8"/>
    </i>
    <i>
      <x v="9"/>
    </i>
    <i>
      <x v="11"/>
    </i>
    <i>
      <x v="12"/>
    </i>
    <i>
      <x v="13"/>
    </i>
    <i>
      <x v="14"/>
    </i>
    <i>
      <x v="15"/>
    </i>
    <i>
      <x v="16"/>
    </i>
    <i t="grand">
      <x/>
    </i>
  </colItems>
  <dataFields count="1">
    <dataField name="Sum of Investment Total (US$m)"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A875C91-679F-8849-BE83-E10BD1713B25}" name="PivotTable4"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3:D11" firstHeaderRow="1" firstDataRow="2" firstDataCol="1"/>
  <pivotFields count="18">
    <pivotField axis="axisCol" showAll="0">
      <items count="19">
        <item x="9"/>
        <item x="10"/>
        <item h="1" x="11"/>
        <item h="1" x="12"/>
        <item h="1" x="14"/>
        <item h="1" x="8"/>
        <item h="1" x="4"/>
        <item h="1" x="5"/>
        <item h="1" x="1"/>
        <item h="1" x="7"/>
        <item h="1" m="1" x="17"/>
        <item h="1" x="15"/>
        <item h="1" x="3"/>
        <item h="1" x="6"/>
        <item h="1" x="13"/>
        <item h="1" x="0"/>
        <item h="1" x="2"/>
        <item h="1" x="16"/>
        <item t="default"/>
      </items>
    </pivotField>
    <pivotField showAll="0"/>
    <pivotField showAll="0"/>
    <pivotField showAll="0"/>
    <pivotField showAll="0"/>
    <pivotField showAll="0"/>
    <pivotField showAll="0"/>
    <pivotField dataField="1" showAll="0"/>
    <pivotField showAll="0"/>
    <pivotField showAll="0"/>
    <pivotField axis="axisRow" showAll="0" sortType="descending">
      <items count="13">
        <item x="0"/>
        <item m="1" x="11"/>
        <item x="6"/>
        <item x="4"/>
        <item x="3"/>
        <item x="2"/>
        <item x="5"/>
        <item m="1" x="9"/>
        <item x="7"/>
        <item x="1"/>
        <item m="1" x="10"/>
        <item x="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s>
  <rowFields count="1">
    <field x="10"/>
  </rowFields>
  <rowItems count="7">
    <i>
      <x v="9"/>
    </i>
    <i>
      <x v="5"/>
    </i>
    <i>
      <x/>
    </i>
    <i>
      <x v="8"/>
    </i>
    <i>
      <x v="3"/>
    </i>
    <i>
      <x v="6"/>
    </i>
    <i t="grand">
      <x/>
    </i>
  </rowItems>
  <colFields count="1">
    <field x="0"/>
  </colFields>
  <colItems count="3">
    <i>
      <x/>
    </i>
    <i>
      <x v="1"/>
    </i>
    <i t="grand">
      <x/>
    </i>
  </colItems>
  <dataFields count="1">
    <dataField name="Sum of Investment Total (US$m)" fld="7" baseField="0" baseItem="0" numFmtId="165"/>
  </dataFields>
  <formats count="1">
    <format dxfId="1">
      <pivotArea outline="0" collapsedLevelsAreSubtotals="1" fieldPosition="0"/>
    </format>
  </formats>
  <chartFormats count="2">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B96541C-39B7-CE49-B7EC-0266D022E339}" name="PivotTable5"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3:I12" firstHeaderRow="1" firstDataRow="2" firstDataCol="1"/>
  <pivotFields count="13">
    <pivotField showAll="0"/>
    <pivotField axis="axisCol" showAll="0">
      <items count="10">
        <item x="5"/>
        <item h="1" x="4"/>
        <item x="3"/>
        <item x="2"/>
        <item x="1"/>
        <item x="6"/>
        <item x="0"/>
        <item x="7"/>
        <item h="1" x="8"/>
        <item t="default"/>
      </items>
    </pivotField>
    <pivotField showAll="0"/>
    <pivotField showAll="0"/>
    <pivotField showAll="0"/>
    <pivotField showAll="0"/>
    <pivotField dataField="1" showAll="0"/>
    <pivotField showAll="0"/>
    <pivotField axis="axisRow" showAll="0" sortType="descending">
      <items count="9">
        <item x="0"/>
        <item x="1"/>
        <item x="3"/>
        <item x="5"/>
        <item x="4"/>
        <item x="2"/>
        <item x="6"/>
        <item x="7"/>
        <item t="default"/>
      </items>
      <autoSortScope>
        <pivotArea dataOnly="0" outline="0" fieldPosition="0">
          <references count="1">
            <reference field="4294967294" count="1" selected="0">
              <x v="0"/>
            </reference>
          </references>
        </pivotArea>
      </autoSortScope>
    </pivotField>
    <pivotField showAll="0"/>
    <pivotField showAll="0">
      <items count="8">
        <item x="1"/>
        <item x="4"/>
        <item x="0"/>
        <item x="3"/>
        <item h="1" x="5"/>
        <item h="1" x="2"/>
        <item h="1" x="6"/>
        <item t="default"/>
      </items>
    </pivotField>
    <pivotField showAll="0"/>
    <pivotField showAll="0"/>
  </pivotFields>
  <rowFields count="1">
    <field x="8"/>
  </rowFields>
  <rowItems count="8">
    <i>
      <x v="6"/>
    </i>
    <i>
      <x/>
    </i>
    <i>
      <x v="4"/>
    </i>
    <i>
      <x v="1"/>
    </i>
    <i>
      <x v="2"/>
    </i>
    <i>
      <x v="3"/>
    </i>
    <i>
      <x v="5"/>
    </i>
    <i t="grand">
      <x/>
    </i>
  </rowItems>
  <colFields count="1">
    <field x="1"/>
  </colFields>
  <colItems count="8">
    <i>
      <x/>
    </i>
    <i>
      <x v="2"/>
    </i>
    <i>
      <x v="3"/>
    </i>
    <i>
      <x v="4"/>
    </i>
    <i>
      <x v="5"/>
    </i>
    <i>
      <x v="6"/>
    </i>
    <i>
      <x v="7"/>
    </i>
    <i t="grand">
      <x/>
    </i>
  </colItems>
  <dataFields count="1">
    <dataField name="Sum of Total Investment (US$m)" fld="6" baseField="0" baseItem="0" numFmtId="165"/>
  </dataFields>
  <formats count="1">
    <format dxfId="0">
      <pivotArea outline="0" collapsedLevelsAreSubtotals="1" fieldPosition="0"/>
    </format>
  </formats>
  <chartFormats count="7">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2"/>
          </reference>
        </references>
      </pivotArea>
    </chartFormat>
    <chartFormat chart="0" format="2" series="1">
      <pivotArea type="data" outline="0" fieldPosition="0">
        <references count="2">
          <reference field="4294967294" count="1" selected="0">
            <x v="0"/>
          </reference>
          <reference field="1" count="1" selected="0">
            <x v="3"/>
          </reference>
        </references>
      </pivotArea>
    </chartFormat>
    <chartFormat chart="0" format="3" series="1">
      <pivotArea type="data" outline="0" fieldPosition="0">
        <references count="2">
          <reference field="4294967294" count="1" selected="0">
            <x v="0"/>
          </reference>
          <reference field="1" count="1" selected="0">
            <x v="4"/>
          </reference>
        </references>
      </pivotArea>
    </chartFormat>
    <chartFormat chart="0" format="4" series="1">
      <pivotArea type="data" outline="0" fieldPosition="0">
        <references count="2">
          <reference field="4294967294" count="1" selected="0">
            <x v="0"/>
          </reference>
          <reference field="1" count="1" selected="0">
            <x v="5"/>
          </reference>
        </references>
      </pivotArea>
    </chartFormat>
    <chartFormat chart="0" format="5" series="1">
      <pivotArea type="data" outline="0" fieldPosition="0">
        <references count="2">
          <reference field="4294967294" count="1" selected="0">
            <x v="0"/>
          </reference>
          <reference field="1" count="1" selected="0">
            <x v="6"/>
          </reference>
        </references>
      </pivotArea>
    </chartFormat>
    <chartFormat chart="0" format="6" series="1">
      <pivotArea type="data" outline="0" fieldPosition="0">
        <references count="2">
          <reference field="4294967294" count="1" selected="0">
            <x v="0"/>
          </reference>
          <reference field="1"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gress" xr10:uid="{1020311D-E8A5-E347-B1BF-E9F8B7F82092}" sourceName="Progress">
  <pivotTables>
    <pivotTable tabId="19" name="PivotTable5"/>
  </pivotTables>
  <data>
    <tabular pivotCacheId="1276676304">
      <items count="7">
        <i x="1" s="1"/>
        <i x="4" s="1"/>
        <i x="0" s="1"/>
        <i x="3" s="1"/>
        <i x="5"/>
        <i x="2"/>
        <i x="6"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ess" xr10:uid="{D9D3B659-EEBD-4642-A722-41105687947E}" cache="Slicer_Progress" caption="Progress"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4D6058-4F22-D74B-ADDD-E1CEB59E4207}" name="Technology" displayName="Technology" ref="B2:B19" totalsRowShown="0" headerRowDxfId="39">
  <autoFilter ref="B2:B19" xr:uid="{7A4D6058-4F22-D74B-ADDD-E1CEB59E4207}">
    <filterColumn colId="0" hiddenButton="1"/>
  </autoFilter>
  <tableColumns count="1">
    <tableColumn id="1" xr3:uid="{FBA86B17-63FA-A64A-9914-CD55D080C013}" name="Technology"/>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419FC0-1A3D-8D4D-81C8-B17D6EF0CFCB}" name="Progress" displayName="Progress" ref="D2:D11" totalsRowShown="0">
  <autoFilter ref="D2:D11" xr:uid="{FF419FC0-1A3D-8D4D-81C8-B17D6EF0CFCB}">
    <filterColumn colId="0" hiddenButton="1"/>
  </autoFilter>
  <tableColumns count="1">
    <tableColumn id="1" xr3:uid="{EC585AAF-88BB-CE45-8A18-CDAF6944D03F}" name="Progress"/>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272EBD-3512-FD4A-9389-5AEC43E8138C}" name="Binary" displayName="Binary" ref="H2:H4" totalsRowShown="0">
  <autoFilter ref="H2:H4" xr:uid="{4A272EBD-3512-FD4A-9389-5AEC43E8138C}">
    <filterColumn colId="0" hiddenButton="1"/>
  </autoFilter>
  <tableColumns count="1">
    <tableColumn id="1" xr3:uid="{4B604DCD-151E-EF40-83B2-4EC5BE7D75FB}" name="Binary"/>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BF5B7C-BE32-904D-AC79-3D628C120028}" name="Region" displayName="Region" ref="F2:F11" totalsRowShown="0">
  <autoFilter ref="F2:F11" xr:uid="{5EBF5B7C-BE32-904D-AC79-3D628C120028}">
    <filterColumn colId="0" hiddenButton="1"/>
  </autoFilter>
  <tableColumns count="1">
    <tableColumn id="1" xr3:uid="{5A532C3D-8129-E043-AA5A-E996459F72D0}" name="Regio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2BC2F8-72B8-354A-8F06-9D413612EF18}" name="Table4" displayName="Table4" ref="J2:K6" totalsRowShown="0">
  <autoFilter ref="J2:K6" xr:uid="{412BC2F8-72B8-354A-8F06-9D413612EF18}">
    <filterColumn colId="0" hiddenButton="1"/>
    <filterColumn colId="1" hiddenButton="1"/>
  </autoFilter>
  <tableColumns count="2">
    <tableColumn id="1" xr3:uid="{76B397D8-EDA1-864C-A2A9-C6DE3009B565}" name="Conversions"/>
    <tableColumn id="2" xr3:uid="{565B753D-5C8A-E744-8C82-712DA481AAA9}" name="FX"/>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4876CF-9E31-3242-B1E7-30AA23D34E4F}" name="Global" displayName="Global" ref="A1:R314" totalsRowCount="1" headerRowDxfId="50">
  <autoFilter ref="A1:R313" xr:uid="{1D4876CF-9E31-3242-B1E7-30AA23D34E4F}"/>
  <tableColumns count="18">
    <tableColumn id="1" xr3:uid="{68BB19A1-5449-A741-AC5B-60547E50BC89}" name="Technology" totalsRowLabel="Total" totalsRowDxfId="49"/>
    <tableColumn id="2" xr3:uid="{6EA13E59-F3A8-1940-B208-AB4942BB3F4A}" name="Company"/>
    <tableColumn id="3" xr3:uid="{5C5BBCBB-0DBF-EC45-9D03-6E0F9D8CE7B8}" name="JV"/>
    <tableColumn id="4" xr3:uid="{D4A3C695-5E40-C648-8843-432583B59B15}" name="Investment Partner"/>
    <tableColumn id="5" xr3:uid="{ABF01C2F-56F7-714B-A4DE-E103C1FC7D80}" name="SOE/Gov Partner"/>
    <tableColumn id="6" xr3:uid="{B9580839-0C69-8742-BA53-B6371245CC16}" name="Investment - Identified (US$m)" totalsRowFunction="sum" dataDxfId="48" totalsRowDxfId="47"/>
    <tableColumn id="7" xr3:uid="{D0178DB5-44D0-7649-91C5-CF43FF586E62}" name="Investment - Estimated (US$m)" totalsRowFunction="sum" dataDxfId="46" totalsRowDxfId="45"/>
    <tableColumn id="16" xr3:uid="{81840339-3748-BC4B-B53E-938097BEAAFD}" name="Investment Total (US$m)" totalsRowFunction="sum" dataDxfId="44" totalsRowDxfId="43">
      <calculatedColumnFormula>Global[[#This Row],[Investment - Identified (US$m)]]+Global[[#This Row],[Investment - Estimated (US$m)]]</calculatedColumnFormula>
    </tableColumn>
    <tableColumn id="8" xr3:uid="{4710BE2E-3693-D640-98C2-428364461FF6}" name="Subnational Location"/>
    <tableColumn id="9" xr3:uid="{4924F926-C4FD-7340-ABE6-CC82C0FAE283}" name="Country"/>
    <tableColumn id="10" xr3:uid="{CBAC6ED1-D5F7-4049-BF93-0F1945D6D67D}" name="Region"/>
    <tableColumn id="11" xr3:uid="{0B072DC1-9D80-FB42-AA29-F3553667C0B3}" name="Product"/>
    <tableColumn id="12" xr3:uid="{EBAEC6C7-1CA7-2445-B5B0-F47BF35175F3}" name="Progress"/>
    <tableColumn id="13" xr3:uid="{2659668C-7EF5-E649-9098-ECC4B554E6AE}" name="Est. Start of Production" dataDxfId="42" totalsRowDxfId="41"/>
    <tableColumn id="15" xr3:uid="{8BD382E5-FD04-984F-94C0-DEB67531A4C9}" name="News Update" dataDxfId="40"/>
    <tableColumn id="14" xr3:uid="{5877CBF3-0A43-9A4A-86D2-FD586A406897}" name="Source"/>
    <tableColumn id="17" xr3:uid="{7EE94421-6D2B-5344-AD7B-522DA75DD8F1}" name="Column1"/>
    <tableColumn id="18" xr3:uid="{8E0F9184-E186-B64B-861B-A2639CCEDB3C}" name="Column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BB916F-2E3E-B047-AA4E-4344183156B6}" name="Resources" displayName="Resources" ref="A1:P77" totalsRowCount="1" headerRowDxfId="38" dataDxfId="37" totalsRowDxfId="36">
  <autoFilter ref="A1:P76" xr:uid="{8456E3EF-6DEC-C747-B740-BAFC6849CECB}">
    <filterColumn colId="1">
      <filters>
        <filter val="Aluminium"/>
        <filter val="Copper"/>
        <filter val="Iron Metal"/>
        <filter val="Iron Ore"/>
        <filter val="Lithium"/>
        <filter val="Nickel"/>
        <filter val="Rare Earths"/>
      </filters>
    </filterColumn>
    <filterColumn colId="10">
      <filters blank="1">
        <filter val="Announced"/>
        <filter val="Construction"/>
        <filter val="M&amp;A"/>
        <filter val="Operation"/>
      </filters>
    </filterColumn>
  </autoFilter>
  <tableColumns count="16">
    <tableColumn id="1" xr3:uid="{BD897409-5151-694B-8632-27E4DCF5C04B}" name="Sector" totalsRowLabel="Total" dataDxfId="35" totalsRowDxfId="34"/>
    <tableColumn id="12" xr3:uid="{F0C17D8F-F3D1-7443-B0E5-6C747229D856}" name="Resource" dataDxfId="33" totalsRowDxfId="32"/>
    <tableColumn id="2" xr3:uid="{E5B16037-72B3-DA4B-80A0-365B97BD9A02}" name="Company" dataDxfId="31" totalsRowDxfId="30"/>
    <tableColumn id="3" xr3:uid="{26E284BC-1C8E-C945-930B-1588377AAC26}" name="Partner" dataDxfId="29" totalsRowDxfId="28"/>
    <tableColumn id="4" xr3:uid="{27C6B808-53F4-0B42-A55C-86591348D310}" name="Identified Investment (US$m)" totalsRowLabel="Total" dataDxfId="27" totalsRowDxfId="26"/>
    <tableColumn id="5" xr3:uid="{4297B19B-EC41-EC4C-BAB5-293C7CFB82AA}" name="Estimated Investment (US$m)" dataDxfId="25" totalsRowDxfId="24"/>
    <tableColumn id="6" xr3:uid="{4553588F-9C69-E74D-B656-D630B326950A}" name="Total Investment (US$m)" totalsRowFunction="sum" dataDxfId="23" totalsRowDxfId="22">
      <calculatedColumnFormula>Resources[[#This Row],[Identified Investment (US$m)]]+Resources[[#This Row],[Estimated Investment (US$m)]]</calculatedColumnFormula>
    </tableColumn>
    <tableColumn id="7" xr3:uid="{818A216E-651A-7945-A737-014DC2691DE0}" name="Country" dataDxfId="21" totalsRowDxfId="20"/>
    <tableColumn id="8" xr3:uid="{CB0892C6-D9E3-1445-B124-4B65E99F0E35}" name="Region" dataDxfId="19" totalsRowDxfId="18"/>
    <tableColumn id="9" xr3:uid="{C5D9493D-BEAF-1D45-B008-55EA4150F2D8}" name="Description" dataDxfId="17" totalsRowDxfId="16"/>
    <tableColumn id="13" xr3:uid="{C5DC2810-11CF-AC4F-BB6E-4CA856362C49}" name="Progress" dataDxfId="15" totalsRowDxfId="14"/>
    <tableColumn id="10" xr3:uid="{C54A3426-0E7B-AE40-8D34-20713184D158}" name="Date" dataDxfId="13" totalsRowDxfId="12"/>
    <tableColumn id="11" xr3:uid="{C983E1F8-6E1E-A34E-8E10-08DAC53ED656}" name="Column4" dataDxfId="11" totalsRowDxfId="10"/>
    <tableColumn id="14" xr3:uid="{4BDFB94C-B08E-A049-867F-99541633255C}" name="Column1" dataDxfId="9" totalsRowDxfId="8"/>
    <tableColumn id="15" xr3:uid="{B08A352F-0E95-0841-AE8B-004415972BFE}" name="Column2" dataDxfId="7" totalsRowDxfId="6"/>
    <tableColumn id="16" xr3:uid="{C29E2AFF-458C-E441-B705-DF21D24261F6}" name="Column3" dataDxfId="5" totalsRow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tt@climateenergyfinance.org" TargetMode="External"/><Relationship Id="rId2" Type="http://schemas.openxmlformats.org/officeDocument/2006/relationships/hyperlink" Target="mailto:tim@climateenergyfinance.org" TargetMode="External"/><Relationship Id="rId1" Type="http://schemas.openxmlformats.org/officeDocument/2006/relationships/hyperlink" Target="https://climateenergyfinance.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17" Type="http://schemas.openxmlformats.org/officeDocument/2006/relationships/hyperlink" Target="https://reneweconomy-com-au.cdn.ampproject.org/c/s/reneweconomy.com.au/chinese-pv-and-storage-giant-trina-wins-rapid-green-light-for-another-big-solar-hybrid-project/amp/" TargetMode="External"/><Relationship Id="rId21" Type="http://schemas.openxmlformats.org/officeDocument/2006/relationships/hyperlink" Target="https://www.pv-magazine.com/2024/12/17/chinese-pv-industry-brief-deye-to-build-inverter-factory-in-malaysia/?utm_source=dlvr.it&amp;utm_medium=linkedin" TargetMode="External"/><Relationship Id="rId42" Type="http://schemas.openxmlformats.org/officeDocument/2006/relationships/hyperlink" Target="https://www.enel.com/media/explore/search-press-releases/press/2024/06/enel-finalized-agreement-signed-in-april-2023-relating-to-distribution-assets-in-peru-" TargetMode="External"/><Relationship Id="rId63" Type="http://schemas.openxmlformats.org/officeDocument/2006/relationships/hyperlink" Target="https://www.pv-magazine.com/2025/06/09/drinda-schmid-pekintas-to-build-5-gw-solar-cell-plant-in-turkey/" TargetMode="External"/><Relationship Id="rId84" Type="http://schemas.openxmlformats.org/officeDocument/2006/relationships/hyperlink" Target="https://cnevpost.com/2025/03/17/xpeng-enters-indonesia-local-production-h2-2025/" TargetMode="External"/><Relationship Id="rId138" Type="http://schemas.openxmlformats.org/officeDocument/2006/relationships/hyperlink" Target="https://www.seetaoe.com/details/253734.html" TargetMode="External"/><Relationship Id="rId159" Type="http://schemas.openxmlformats.org/officeDocument/2006/relationships/hyperlink" Target="https://source.benchmarkminerals.com/article/site-visit-permanent-minerals-highlights-africas-growing-flake-graphite-role" TargetMode="External"/><Relationship Id="rId170" Type="http://schemas.openxmlformats.org/officeDocument/2006/relationships/hyperlink" Target="https://renewablesnow.com/news/envision-acwa-power-sign-cooperation-framework-agreement-1284359/" TargetMode="External"/><Relationship Id="rId191" Type="http://schemas.openxmlformats.org/officeDocument/2006/relationships/hyperlink" Target="https://www.yicaiglobal.com/news/chinas-ronbay-to-invest-usd362-million-to-build-two-battery-materials-plants-in-south-korea" TargetMode="External"/><Relationship Id="rId205" Type="http://schemas.openxmlformats.org/officeDocument/2006/relationships/hyperlink" Target="https://www.thejakartapost.com/business/2026/01/28/byd-vinfast-to-start-local-ev-production-in-march-govt-says.html" TargetMode="External"/><Relationship Id="rId226" Type="http://schemas.openxmlformats.org/officeDocument/2006/relationships/hyperlink" Target="https://www.electrive.com/2026/02/02/byd-begins-trial-production-of-passenger-cars-in-hungary/" TargetMode="External"/><Relationship Id="rId107" Type="http://schemas.openxmlformats.org/officeDocument/2006/relationships/hyperlink" Target="https://exame.com/tecnologia/byd-inicia-producao-do-primeiro-modelo-100-brasileiro-em-fabrica-de-camacari/" TargetMode="External"/><Relationship Id="rId11" Type="http://schemas.openxmlformats.org/officeDocument/2006/relationships/hyperlink" Target="https://renews.biz/97329/room-for-mingyang-scottish-factory/" TargetMode="External"/><Relationship Id="rId32" Type="http://schemas.openxmlformats.org/officeDocument/2006/relationships/hyperlink" Target="https://www.reuters.com/article/legal/government/chinas-xinyi-to-invest-115-billion-in-indonesia-factory-indonesian-minister-idUSL4N39E2UZ/" TargetMode="External"/><Relationship Id="rId53" Type="http://schemas.openxmlformats.org/officeDocument/2006/relationships/hyperlink" Target="https://www.pv-magazine.com/2025/06/23/chinas-sunrev-solar-builds-2-gw-solar-cell-module-factory-in-egypt/" TargetMode="External"/><Relationship Id="rId74" Type="http://schemas.openxmlformats.org/officeDocument/2006/relationships/hyperlink" Target="https://vir.com.vn/hainan-drinda-new-energy-enters-vietnam-with-450-million-solar-project-110187.html&amp;link=autochanger" TargetMode="External"/><Relationship Id="rId128" Type="http://schemas.openxmlformats.org/officeDocument/2006/relationships/hyperlink" Target="https://www.canadianminingjournal.com/news/pt-vale-and-chinas-gem-partner-for-us1-4-billion-indonesian-nickel-plant/" TargetMode="External"/><Relationship Id="rId149" Type="http://schemas.openxmlformats.org/officeDocument/2006/relationships/hyperlink" Target="https://source.benchmarkminerals.com/article/chinas-gotion-follows-catl-playbook-with-nickel-investment" TargetMode="External"/><Relationship Id="rId5" Type="http://schemas.openxmlformats.org/officeDocument/2006/relationships/hyperlink" Target="https://www.windtech-international.com/projects-and-contracts/goldwind-completes-500mw-red-sea-wind-farm-in-egypt" TargetMode="External"/><Relationship Id="rId95" Type="http://schemas.openxmlformats.org/officeDocument/2006/relationships/hyperlink" Target="https://enterprise.news/climate/en/news/story/ea78e470-8392-487d-a7bf-06ef3e74d954/hailiang-set-to-build-usd-288-mn-ev-battery-parts-plant-in-morocco" TargetMode="External"/><Relationship Id="rId160" Type="http://schemas.openxmlformats.org/officeDocument/2006/relationships/hyperlink" Target="https://www.btrchina.com/en/News/info.aspx?itemid=1244" TargetMode="External"/><Relationship Id="rId181" Type="http://schemas.openxmlformats.org/officeDocument/2006/relationships/hyperlink" Target="https://www.power-technology.com/data-insights/power-plant-profile-black-peak-wind-farm-serbia/" TargetMode="External"/><Relationship Id="rId216" Type="http://schemas.openxmlformats.org/officeDocument/2006/relationships/hyperlink" Target="https://www.npr.org/2025/09/09/nx-s1-5534227/ethiopia-dam-sudan-egypt" TargetMode="External"/><Relationship Id="rId237" Type="http://schemas.openxmlformats.org/officeDocument/2006/relationships/hyperlink" Target="https://www.electronicsforyou.biz/industry-buzz/saic-motor-jsw-group-form-joint-venture-for-mg-motor-india/" TargetMode="External"/><Relationship Id="rId22" Type="http://schemas.openxmlformats.org/officeDocument/2006/relationships/hyperlink" Target="https://www.ft.com/content/5a49c5dc-0d65-45d1-ab9a-66d8a7e71b56" TargetMode="External"/><Relationship Id="rId43" Type="http://schemas.openxmlformats.org/officeDocument/2006/relationships/hyperlink" Target="https://solarquarter.com/2025/04/16/shanghai-electric-joins-masdar-for-saudi-arabias-al-sadawi-solar-project/" TargetMode="External"/><Relationship Id="rId64" Type="http://schemas.openxmlformats.org/officeDocument/2006/relationships/hyperlink" Target="https://www.pv-tech.org/chinas-solefiori-to-build-6gw-hjt-module-factory-in-saudi-arabia/" TargetMode="External"/><Relationship Id="rId118" Type="http://schemas.openxmlformats.org/officeDocument/2006/relationships/hyperlink" Target="https://www.argusmedia.com/en/news-and-insights/latest-market-news/2560463-china-s-lopal-starts-first-indonesian-lfp-battery-plant" TargetMode="External"/><Relationship Id="rId139" Type="http://schemas.openxmlformats.org/officeDocument/2006/relationships/hyperlink" Target="https://www.uzdaily.uz/en/eight-waste-to-energy-plants-planned-for-construction-in-uzbekistan/" TargetMode="External"/><Relationship Id="rId85" Type="http://schemas.openxmlformats.org/officeDocument/2006/relationships/hyperlink" Target="https://www.ft.com/content/36ae6f78-aadb-47bb-a5cd-ec69b420cbe1?emailId=f210c979-ac2d-4e04-a2d0-909a0c094c2d&amp;segmentId=60a126e8-df3c-b524-c979-f90bde8a67cd" TargetMode="External"/><Relationship Id="rId150" Type="http://schemas.openxmlformats.org/officeDocument/2006/relationships/hyperlink" Target="https://www.metal.com/en/newscontent/103089926" TargetMode="External"/><Relationship Id="rId171" Type="http://schemas.openxmlformats.org/officeDocument/2006/relationships/hyperlink" Target="https://renewablesnow.com/news/envision-breaks-ground-on-2-gw-wind-turbine-blades-factory-in-india-1282128/" TargetMode="External"/><Relationship Id="rId192" Type="http://schemas.openxmlformats.org/officeDocument/2006/relationships/hyperlink" Target="https://www.aa.com.tr/en/economy/turkish-automaker-chinese-battery-firm-sign-562m-loan-deal-with-icbc-turkey/3112677" TargetMode="External"/><Relationship Id="rId206" Type="http://schemas.openxmlformats.org/officeDocument/2006/relationships/hyperlink" Target="https://en.prnasia.com/releases/global/elite-solar-commissions-5gw-integrated-solar-manufacturing-facility-in-egypt-expanding-global-supply-capacity-520129.shtml" TargetMode="External"/><Relationship Id="rId227" Type="http://schemas.openxmlformats.org/officeDocument/2006/relationships/hyperlink" Target="https://www.electrive.com/2026/02/02/byd-begins-trial-production-of-passenger-cars-in-hungary/" TargetMode="External"/><Relationship Id="rId12" Type="http://schemas.openxmlformats.org/officeDocument/2006/relationships/hyperlink" Target="https://www.power-technology.com/news/envision-wind-turbine-energy-storage-kazakhstan/" TargetMode="External"/><Relationship Id="rId33" Type="http://schemas.openxmlformats.org/officeDocument/2006/relationships/hyperlink" Target="http://www.nesolar.com.kh/?content/176" TargetMode="External"/><Relationship Id="rId108" Type="http://schemas.openxmlformats.org/officeDocument/2006/relationships/hyperlink" Target="https://energynews.biz/eve-energys-1-2b-malaysia-battery-bet-reveals-strategic-shift-amid-global-trade-volatility/" TargetMode="External"/><Relationship Id="rId129" Type="http://schemas.openxmlformats.org/officeDocument/2006/relationships/hyperlink" Target="https://indonesiabusinesspost.com/5220/energy-and-resources/oasa-china-tianying-partner-to-set-up-waste-to-energy-plant-in-south-tangerang" TargetMode="External"/><Relationship Id="rId54" Type="http://schemas.openxmlformats.org/officeDocument/2006/relationships/hyperlink" Target="https://www.pv-magazine-australia.com/2025/09/24/jinko-secures-federal-green-tick-for-solar-and-battery-project/" TargetMode="External"/><Relationship Id="rId75" Type="http://schemas.openxmlformats.org/officeDocument/2006/relationships/hyperlink" Target="https://www.facebook.com/xinyiglassmirror/videos/on-january-18-2025-xinyi-glasss-industrial-park-in-indonesia-successfully-commen/853220776828988/" TargetMode="External"/><Relationship Id="rId96" Type="http://schemas.openxmlformats.org/officeDocument/2006/relationships/hyperlink" Target="https://enterprise.news/climate/en/news/story/f7f71bc5-5be7-4259-8272-c44591cef9ff/" TargetMode="External"/><Relationship Id="rId140" Type="http://schemas.openxmlformats.org/officeDocument/2006/relationships/hyperlink" Target="https://www.bloomberg.com/news/articles/2025-12-23/how-ford-and-catl-expanded-partnership-despite-political-minefield?cmpid=BBD122325_GREENDAILY&amp;utm_medium=email&amp;utm_source=newsletter&amp;utm_term=251223&amp;utm_campaign=greendaily" TargetMode="External"/><Relationship Id="rId161" Type="http://schemas.openxmlformats.org/officeDocument/2006/relationships/hyperlink" Target="https://www.reuters.com/business/china-ev-battery-maker-btr-build-cathode-plant-morocco-2024-03-29/" TargetMode="External"/><Relationship Id="rId182" Type="http://schemas.openxmlformats.org/officeDocument/2006/relationships/hyperlink" Target="https://www.gwm-global.com/news/3403758.html" TargetMode="External"/><Relationship Id="rId217" Type="http://schemas.openxmlformats.org/officeDocument/2006/relationships/hyperlink" Target="https://www.scmp.com/week-asia/politics/article/3343515/indonesias-us167-billion-china-backed-dam-limbo-why?utm_medium=email&amp;utm_source=cm&amp;utm_campaign=enlz-behind_the_headlines&amp;utm_content=20260220&amp;tpcc=enlz-behind_the_headlines&amp;UUID=9d1a14b6-2ab5-4fe1-a73c-7c57d6428f9b&amp;tc=31" TargetMode="External"/><Relationship Id="rId6" Type="http://schemas.openxmlformats.org/officeDocument/2006/relationships/hyperlink" Target="https://asian-power.com/project/news/acwa-powers-1-gw-wind-portfolio-in-uzbekistan-reaches-full-commercial-operations" TargetMode="External"/><Relationship Id="rId238" Type="http://schemas.openxmlformats.org/officeDocument/2006/relationships/hyperlink" Target="https://www.energy-storage.news/hithium-signs-e400-million-spain-battery-gigafactory-investment-agreement-after-two-year-courtship/?utm_source=linkedin&amp;utm_medium=volta_newsletter&amp;utm_campaign=volta_newsletter_20260418" TargetMode="External"/><Relationship Id="rId23" Type="http://schemas.openxmlformats.org/officeDocument/2006/relationships/hyperlink" Target="https://kpl.gov.la/EN/detail.aspx?id=89662" TargetMode="External"/><Relationship Id="rId119" Type="http://schemas.openxmlformats.org/officeDocument/2006/relationships/hyperlink" Target="https://www.petromindo.com/news/article/lopal-tech-expects-completion-of-second-lithium-production-phase-by-end-of-2025" TargetMode="External"/><Relationship Id="rId44" Type="http://schemas.openxmlformats.org/officeDocument/2006/relationships/hyperlink" Target="https://www.ctg.com.cn/ctgenglish/news_media/news37/2025022413350094568/index.html" TargetMode="External"/><Relationship Id="rId65" Type="http://schemas.openxmlformats.org/officeDocument/2006/relationships/hyperlink" Target="https://www.pv-magazine.com/2025/06/09/drinda-schmid-pekintas-to-build-5-gw-solar-cell-plant-in-turkey/" TargetMode="External"/><Relationship Id="rId86" Type="http://schemas.openxmlformats.org/officeDocument/2006/relationships/hyperlink" Target="https://constructionreviewonline.com/news/merdeka-battery-locks-in-1-8b-for-indonesian-hpal-facility/" TargetMode="External"/><Relationship Id="rId130" Type="http://schemas.openxmlformats.org/officeDocument/2006/relationships/hyperlink" Target="https://www.just-auto.com/news/geely-begins-assembling-the-starray-in-indonesia/" TargetMode="External"/><Relationship Id="rId151" Type="http://schemas.openxmlformats.org/officeDocument/2006/relationships/hyperlink" Target="https://thesun.my/news/malaysia-news/johor-nears-deal-with-gotion-for-major-battery-plant/" TargetMode="External"/><Relationship Id="rId172" Type="http://schemas.openxmlformats.org/officeDocument/2006/relationships/hyperlink" Target="https://www.envision-energy.in/about-us" TargetMode="External"/><Relationship Id="rId193" Type="http://schemas.openxmlformats.org/officeDocument/2006/relationships/hyperlink" Target="https://newsroom.posco.com/en/posco-future-m-pursues-the-lfp-cathode-material-business-for-ess/" TargetMode="External"/><Relationship Id="rId207" Type="http://schemas.openxmlformats.org/officeDocument/2006/relationships/hyperlink" Target="https://www.ecofinagency.com/news-industry/1609-48731-as-morocco-attracts-a-5-6b-battery-plant-its-coal-fired-grid-faces-a-power-test" TargetMode="External"/><Relationship Id="rId228" Type="http://schemas.openxmlformats.org/officeDocument/2006/relationships/hyperlink" Target="https://www.turkishminute.com/2026/01/14/chinas-byd-starts-building-ev-plant-as-part-of-billion-dollar-investment-in-turkey/" TargetMode="External"/><Relationship Id="rId13" Type="http://schemas.openxmlformats.org/officeDocument/2006/relationships/hyperlink" Target="https://kun.uz/en/news/2024/11/05/chinas-sino-wind-energy-plans-wind-turbine-blade-production-plant-in-uzbekistan" TargetMode="External"/><Relationship Id="rId109" Type="http://schemas.openxmlformats.org/officeDocument/2006/relationships/hyperlink" Target="https://www.energy-storage.news/gotion-starts-manufacturing-5mwh-bess-in-germany-following-key-certifications/" TargetMode="External"/><Relationship Id="rId34" Type="http://schemas.openxmlformats.org/officeDocument/2006/relationships/hyperlink" Target="https://www.thestar.com.my/aseanplus/aseanplus-news/2023/09/26/chinese-company-launches-5gw-high-efficiency-solar-cell-project-in-laos" TargetMode="External"/><Relationship Id="rId55" Type="http://schemas.openxmlformats.org/officeDocument/2006/relationships/hyperlink" Target="https://www.pv-magazine.com/2025/09/29/chinas-solefiori-to-build-6-gw-hjt-solar-module-factory-in-saudi-arabia/" TargetMode="External"/><Relationship Id="rId76" Type="http://schemas.openxmlformats.org/officeDocument/2006/relationships/hyperlink" Target="https://www.pv-tech.org/risen-energy-to-set-up-us10-2bn-solar-manufacturing-plant-in-malaysia/" TargetMode="External"/><Relationship Id="rId97" Type="http://schemas.openxmlformats.org/officeDocument/2006/relationships/hyperlink" Target="https://electricdrives.tv/geely-makes-120m-investment-in-the-london-electric-vehicle-company/" TargetMode="External"/><Relationship Id="rId120" Type="http://schemas.openxmlformats.org/officeDocument/2006/relationships/hyperlink" Target="https://www.mlive.com/news/2025/10/michigan-says-gotion-battery-plant-is-dead-and-seeks-to-claw-back-grant-dollars.html" TargetMode="External"/><Relationship Id="rId141" Type="http://schemas.openxmlformats.org/officeDocument/2006/relationships/hyperlink" Target="https://www.itiger.com/news/2541889654" TargetMode="External"/><Relationship Id="rId7" Type="http://schemas.openxmlformats.org/officeDocument/2006/relationships/hyperlink" Target="https://www.inchcapewind.com/scottish-flagship-offshore-wind-project-inch-cape-reaches-financial-clos/" TargetMode="External"/><Relationship Id="rId162" Type="http://schemas.openxmlformats.org/officeDocument/2006/relationships/hyperlink" Target="https://tritonminerals.com/wp-content/uploads/2025/05/20250430-Quarterly-Activities-Appendix-5B-Cash-Flow-Report.pdf" TargetMode="External"/><Relationship Id="rId183" Type="http://schemas.openxmlformats.org/officeDocument/2006/relationships/hyperlink" Target="https://www.boi.go.th/index.php?page=press_releases_detail&amp;topic_id=135688&amp;utm_source=AItoolsmarketer&amp;utm_medium=marketplace&amp;utm_campAIgn=AItoolsmarketer&amp;language=en" TargetMode="External"/><Relationship Id="rId218" Type="http://schemas.openxmlformats.org/officeDocument/2006/relationships/hyperlink" Target="https://www.mysteel.net/news/5107363-flash-envision-aesc-uk-battery-gigafactory-officially-puts-into-operation" TargetMode="External"/><Relationship Id="rId239" Type="http://schemas.openxmlformats.org/officeDocument/2006/relationships/hyperlink" Target="https://www.linkedin.com/posts/shawnqu_canadiansolar-usmanufacturing-madeinusa-activity-7452166590994948096-ihWy?utm_source=share&amp;utm_medium=member_desktop&amp;rcm=ACoAAAK_xL4BN5TFIx7F-X4g0YfwtHJ1QLTvZoQ" TargetMode="External"/><Relationship Id="rId24" Type="http://schemas.openxmlformats.org/officeDocument/2006/relationships/hyperlink" Target="https://www.pv-magazine.com/2024/11/18/thornova-solar-starts-solar-module-production-in-indonesia/" TargetMode="External"/><Relationship Id="rId45" Type="http://schemas.openxmlformats.org/officeDocument/2006/relationships/hyperlink" Target="https://www.ctg.com.cn/ctgenglish/news_media/news37/2024110813465078869/index.html" TargetMode="External"/><Relationship Id="rId66" Type="http://schemas.openxmlformats.org/officeDocument/2006/relationships/hyperlink" Target="https://chinaglobalsouth.com/analysis/china-ethiopia-solar-investments-clean-energy-peace-stability/" TargetMode="External"/><Relationship Id="rId87" Type="http://schemas.openxmlformats.org/officeDocument/2006/relationships/hyperlink" Target="https://www.ess-news.com/2025/01/15/chinas-rept-battero-to-build-battery-manufacturing-plant-in-indonesia/" TargetMode="External"/><Relationship Id="rId110" Type="http://schemas.openxmlformats.org/officeDocument/2006/relationships/hyperlink" Target="https://www.energy-storage.news/gotions-first-made-in-usa-ess-battery-packs-roll-off-silicon-valley-production-line/" TargetMode="External"/><Relationship Id="rId131" Type="http://schemas.openxmlformats.org/officeDocument/2006/relationships/hyperlink" Target="https://asiatoday.id/read/pt-magic-crystal-indo-and-cecep-group-collaborate-to-develop-clean-energy-in-east-kalimantan" TargetMode="External"/><Relationship Id="rId152" Type="http://schemas.openxmlformats.org/officeDocument/2006/relationships/hyperlink" Target="https://www.just-auto.com/news/envision-aesc-confirms-ev-battery-plant-in-japan/" TargetMode="External"/><Relationship Id="rId173" Type="http://schemas.openxmlformats.org/officeDocument/2006/relationships/hyperlink" Target="https://www.pv-magazine.com/2025/04/23/azerbaijan-inks-three-solar-agreements-with-chinese-companies/" TargetMode="External"/><Relationship Id="rId194" Type="http://schemas.openxmlformats.org/officeDocument/2006/relationships/hyperlink" Target="https://www.reuters.com/world/china/chinas-catl-breaks-ground-huge-spanish-battery-plant-bringing-its-own-workers-2025-11-26/" TargetMode="External"/><Relationship Id="rId208" Type="http://schemas.openxmlformats.org/officeDocument/2006/relationships/hyperlink" Target="https://www.scmp.com/economy/global-economy/article/3341838/china-step-investment-nepals-hydropower-sector-nepalese-official" TargetMode="External"/><Relationship Id="rId229" Type="http://schemas.openxmlformats.org/officeDocument/2006/relationships/hyperlink" Target="https://cnevpost.com/2025/07/03/byd-suspends-plans-car-plant-mexico/" TargetMode="External"/><Relationship Id="rId240" Type="http://schemas.openxmlformats.org/officeDocument/2006/relationships/hyperlink" Target="https://www.catl.com/en/news/6614.html" TargetMode="External"/><Relationship Id="rId14" Type="http://schemas.openxmlformats.org/officeDocument/2006/relationships/hyperlink" Target="https://renewablesnow.com/news/renexia-mingyang-ink-pact-for-eur-500m-wind-turbine-factory-in-italy-865811/" TargetMode="External"/><Relationship Id="rId35" Type="http://schemas.openxmlformats.org/officeDocument/2006/relationships/hyperlink" Target="https://www.straitstimes.com/multimedia/graphics/2025/03/china-great-green-march-globe/index.html?shell" TargetMode="External"/><Relationship Id="rId56" Type="http://schemas.openxmlformats.org/officeDocument/2006/relationships/hyperlink" Target="https://fundacionandresbello.org/en/news/chile-&#127464;&#127473;-news/china-southern-power-in-talks-to-acquire-majority-stake-in-chiles-transelec/" TargetMode="External"/><Relationship Id="rId77" Type="http://schemas.openxmlformats.org/officeDocument/2006/relationships/hyperlink" Target="https://www.reuters.com/business/autos-transportation/volvo-cars-buys-northvolts-stake-ev-battery-venture-novo-2025-01-29/" TargetMode="External"/><Relationship Id="rId100" Type="http://schemas.openxmlformats.org/officeDocument/2006/relationships/hyperlink" Target="https://esgnews.com/envision-to-build-latin-americas-first-net-zero-industrial-park-in-brazil-to-accelerate-green-fuel-production/" TargetMode="External"/><Relationship Id="rId8" Type="http://schemas.openxmlformats.org/officeDocument/2006/relationships/hyperlink" Target="https://finance.sina.com.cn/roll/2025-04-05/doc-inesapiy3801618.shtml" TargetMode="External"/><Relationship Id="rId98" Type="http://schemas.openxmlformats.org/officeDocument/2006/relationships/hyperlink" Target="https://us.aesc-group.com/" TargetMode="External"/><Relationship Id="rId121" Type="http://schemas.openxmlformats.org/officeDocument/2006/relationships/hyperlink" Target="https://www.reuters.com/world/africa/huayou-start-zimbabwe-lithium-sulphate-production-early-2026-2025-10-17/" TargetMode="External"/><Relationship Id="rId142" Type="http://schemas.openxmlformats.org/officeDocument/2006/relationships/hyperlink" Target="https://www.yicaiglobal.com/news/chinas-zhongke-to-build-lithium-battery-material-plant-in-oman-for-usd11-billion" TargetMode="External"/><Relationship Id="rId163" Type="http://schemas.openxmlformats.org/officeDocument/2006/relationships/hyperlink" Target="https://battery-news.de/en/2025/03/11/ptl-cancels-anode-factory-in-sweden/" TargetMode="External"/><Relationship Id="rId184" Type="http://schemas.openxmlformats.org/officeDocument/2006/relationships/hyperlink" Target="https://www.bangkokpost.com/business/motoring/3006356/gwm-devises-plan-for-diesel-cars-in-rayong" TargetMode="External"/><Relationship Id="rId219" Type="http://schemas.openxmlformats.org/officeDocument/2006/relationships/hyperlink" Target="https://qazinform.com/news/chinese-investors-to-launch-2-billion-renewable-energy-projects-in-kazakhstan-35b36c" TargetMode="External"/><Relationship Id="rId230" Type="http://schemas.openxmlformats.org/officeDocument/2006/relationships/hyperlink" Target="https://www.businessday.co.za/world/international-companies/2026-02-12-exclusive-chinese-automakers-eye-mexico-plant-amid-tariff-turmoil/" TargetMode="External"/><Relationship Id="rId25" Type="http://schemas.openxmlformats.org/officeDocument/2006/relationships/hyperlink" Target="https://soharportandfreezone.om/en/who-we-are/about-sohar" TargetMode="External"/><Relationship Id="rId46" Type="http://schemas.openxmlformats.org/officeDocument/2006/relationships/hyperlink" Target="https://www.theasset.com/article/47391/chinas-ctg-raises-stake-in-peru-hydro-project-to-100" TargetMode="External"/><Relationship Id="rId67" Type="http://schemas.openxmlformats.org/officeDocument/2006/relationships/hyperlink" Target="https://www.yicaiglobal.com/news/chinas-sinomach-to-add-usd996-million-hydroelectric-power-station-in-cambodia" TargetMode="External"/><Relationship Id="rId88" Type="http://schemas.openxmlformats.org/officeDocument/2006/relationships/hyperlink" Target="https://www.prnewswire.com/news-releases/recurrent-energy-secures-183-million-in-project-financing-and-tax-equity-for-merchant-storage-project-in-texas-302404122.html" TargetMode="External"/><Relationship Id="rId111" Type="http://schemas.openxmlformats.org/officeDocument/2006/relationships/hyperlink" Target="https://www.bloomberg.com/news/features/2024-01-08/big-european-car-industry-is-jeopardized-by-electric-vehicles?sref=XNB4Nygj" TargetMode="External"/><Relationship Id="rId132" Type="http://schemas.openxmlformats.org/officeDocument/2006/relationships/hyperlink" Target="https://en.people.cn/n3/2023/0728/c90000-20050736.html?utm_source=chatgpt.com" TargetMode="External"/><Relationship Id="rId153" Type="http://schemas.openxmlformats.org/officeDocument/2006/relationships/hyperlink" Target="https://theinvestor.vn/chinese-battery-maker-sunwoda-plans-300-mln-additional-investment-in-northern-vietnam-d11246.html" TargetMode="External"/><Relationship Id="rId174" Type="http://schemas.openxmlformats.org/officeDocument/2006/relationships/hyperlink" Target="https://www.pv-magazine.com/2025/04/23/azerbaijan-inks-three-solar-agreements-with-chinese-companies/" TargetMode="External"/><Relationship Id="rId195" Type="http://schemas.openxmlformats.org/officeDocument/2006/relationships/hyperlink" Target="https://finance.yahoo.com/news/aesc-restarts-clock-construction-1-202611615.html" TargetMode="External"/><Relationship Id="rId209" Type="http://schemas.openxmlformats.org/officeDocument/2006/relationships/hyperlink" Target="https://www.power-technology.com/marketdata/power-plant-profile-upper-marsyangdi-2-nepal/" TargetMode="External"/><Relationship Id="rId220" Type="http://schemas.openxmlformats.org/officeDocument/2006/relationships/hyperlink" Target="https://www.ctg.com.cn/ctgenglish/news_media/news37/2026011314210722951/index.html" TargetMode="External"/><Relationship Id="rId241" Type="http://schemas.openxmlformats.org/officeDocument/2006/relationships/table" Target="../tables/table6.xml"/><Relationship Id="rId15" Type="http://schemas.openxmlformats.org/officeDocument/2006/relationships/hyperlink" Target="https://renewablesnow.com/news/mingyang-sets-up-wind-turbine-manufacturing-jv-in-s-korea-867980/" TargetMode="External"/><Relationship Id="rId36" Type="http://schemas.openxmlformats.org/officeDocument/2006/relationships/hyperlink" Target="https://renewablesnow.com/news/chinas-elite-solar-breaks-ground-on-2-gw-solar-factory-in-egypt-1268329/" TargetMode="External"/><Relationship Id="rId57" Type="http://schemas.openxmlformats.org/officeDocument/2006/relationships/hyperlink" Target="https://www.bnamericas.com/en/features/permitting-nod-for-us15bn-chile-hvdc-power-line-a-key-milestone" TargetMode="External"/><Relationship Id="rId106" Type="http://schemas.openxmlformats.org/officeDocument/2006/relationships/hyperlink" Target="https://www.reuters.com/business/autos-transportation/byd-invest-94-million-triple-electric-bus-output-hungary-2025-06-27/" TargetMode="External"/><Relationship Id="rId127" Type="http://schemas.openxmlformats.org/officeDocument/2006/relationships/hyperlink" Target="https://www.metal.com/en/newscontent/103629351?utm_source=chatgpt.com" TargetMode="External"/><Relationship Id="rId10" Type="http://schemas.openxmlformats.org/officeDocument/2006/relationships/hyperlink" Target="https://serbia-energy.eu/serbia-construction-of-300-mw-vetrozelena-wind-farm-near-pancevo-to-begin-soon/" TargetMode="External"/><Relationship Id="rId31" Type="http://schemas.openxmlformats.org/officeDocument/2006/relationships/hyperlink" Target="https://taiyangnews.info/markets/china-solar-pv-news-snippets-94" TargetMode="External"/><Relationship Id="rId52" Type="http://schemas.openxmlformats.org/officeDocument/2006/relationships/hyperlink" Target="https://www.bloomberg.com/news/articles/2025-07-25/china-s-stealthy-solar-exports-stay-one-step-ahead-of-us-tariffs?cmpid=BBD072525_GREENDAILY&amp;utm_medium=email&amp;utm_source=newsletter&amp;utm_term=250725&amp;utm_campaign=greendaily" TargetMode="External"/><Relationship Id="rId73" Type="http://schemas.openxmlformats.org/officeDocument/2006/relationships/hyperlink" Target="https://vir.com.vn/hainan-drinda-new-energy-enters-vietnam-with-450-million-solar-project-110187.html&amp;link=autochanger" TargetMode="External"/><Relationship Id="rId78" Type="http://schemas.openxmlformats.org/officeDocument/2006/relationships/hyperlink" Target="https://www.ft.com/content/ed88ae58-274c-4d06-a93d-15c93ee550a3" TargetMode="External"/><Relationship Id="rId94" Type="http://schemas.openxmlformats.org/officeDocument/2006/relationships/hyperlink" Target="https://www.investmentmonitor.ai/news/deal-of-the-week-gotion-high-techs-6-4bn-battery-plant-in-morocco/" TargetMode="External"/><Relationship Id="rId99" Type="http://schemas.openxmlformats.org/officeDocument/2006/relationships/hyperlink" Target="https://www.reuters.com/markets/commodities/bolivia-says-chinas-cbc-invest-1-billion-lithium-plants-2024-11-26/" TargetMode="External"/><Relationship Id="rId101" Type="http://schemas.openxmlformats.org/officeDocument/2006/relationships/hyperlink" Target="https://asia.nikkei.com/Business/Automobiles/BYD-s-Brazil-expansion-hits-roadblocks-as-other-carmakers-call-for-tariffs" TargetMode="External"/><Relationship Id="rId122" Type="http://schemas.openxmlformats.org/officeDocument/2006/relationships/hyperlink" Target="https://www.mining.com/web/sinomine-says-it-will-build-lithium-sulfate-plant-in-zimbabwe/" TargetMode="External"/><Relationship Id="rId143" Type="http://schemas.openxmlformats.org/officeDocument/2006/relationships/hyperlink" Target="https://www.energytrend.com/news/20250724-49925.html" TargetMode="External"/><Relationship Id="rId148" Type="http://schemas.openxmlformats.org/officeDocument/2006/relationships/hyperlink" Target="https://www.bloomberg.com/news/articles/2025-05-07/byd-tsingshan-drop-chile-lithium-processing-projects-after-rout" TargetMode="External"/><Relationship Id="rId164" Type="http://schemas.openxmlformats.org/officeDocument/2006/relationships/hyperlink" Target="https://www.yicaiglobal.com/news/china-hailiang-to-build-usd849-million-ev-battery-copper-foil-plant-in-indonesia" TargetMode="External"/><Relationship Id="rId169" Type="http://schemas.openxmlformats.org/officeDocument/2006/relationships/hyperlink" Target="https://en.myse.com.cn/news/info.aspx?itemid=2529" TargetMode="External"/><Relationship Id="rId185" Type="http://schemas.openxmlformats.org/officeDocument/2006/relationships/hyperlink" Target="https://www.digitimes.com/news/a20221122VL211/great-wall-motor-thailand.html" TargetMode="External"/><Relationship Id="rId4" Type="http://schemas.openxmlformats.org/officeDocument/2006/relationships/hyperlink" Target="https://www.ctg.com.cn/ctgenglish/news_media/news37/2025012613205432520/index.html" TargetMode="External"/><Relationship Id="rId9" Type="http://schemas.openxmlformats.org/officeDocument/2006/relationships/hyperlink" Target="https://renewables.az/en/news/samruk-energy-and-china-energy-advance-800-mw-renewable-projects-in-kazakhstan" TargetMode="External"/><Relationship Id="rId180" Type="http://schemas.openxmlformats.org/officeDocument/2006/relationships/hyperlink" Target="https://www.powermag.com/major-hydropower-project-moves-forward-in-angola/" TargetMode="External"/><Relationship Id="rId210" Type="http://schemas.openxmlformats.org/officeDocument/2006/relationships/hyperlink" Target="https://www.afr.com/companies/mining/rio-tinto-partners-with-chinalco-on-1-3b-brazilian-aluminium-deal-20260130-p5nyc6" TargetMode="External"/><Relationship Id="rId215" Type="http://schemas.openxmlformats.org/officeDocument/2006/relationships/hyperlink" Target="https://english.news.cn/20260205/9341481fba214901bc087b30a24a6cfd/c.html" TargetMode="External"/><Relationship Id="rId236" Type="http://schemas.openxmlformats.org/officeDocument/2006/relationships/hyperlink" Target="https://www.reuters.com/world/china/saics-india-venture-invest-up-440-million-expansion-deepen-bet-hybrids-evs-2026-02-16/" TargetMode="External"/><Relationship Id="rId26" Type="http://schemas.openxmlformats.org/officeDocument/2006/relationships/hyperlink" Target="https://list.solar/news/ja-solar-launches/" TargetMode="External"/><Relationship Id="rId231" Type="http://schemas.openxmlformats.org/officeDocument/2006/relationships/hyperlink" Target="https://hvilleblast.com/runergy-plant-expansion-among-new-building-permits/" TargetMode="External"/><Relationship Id="rId47" Type="http://schemas.openxmlformats.org/officeDocument/2006/relationships/hyperlink" Target="https://www.bloomberg.com/news/articles/2025-05-16/china-s-solar-firms-to-speed-up-global-push-under-tariff-truce?cmpid=BBD051625_GREENDAILY&amp;utm_medium=email&amp;utm_source=newsletter&amp;utm_term=250516&amp;utm_campaign=greendaily" TargetMode="External"/><Relationship Id="rId68" Type="http://schemas.openxmlformats.org/officeDocument/2006/relationships/hyperlink" Target="https://renewablesnow.com/news/china-three-gorges-to-buy-494-mw-solar-farm-in-spain-report-1268752/" TargetMode="External"/><Relationship Id="rId89" Type="http://schemas.openxmlformats.org/officeDocument/2006/relationships/hyperlink" Target="https://hungarytoday.hu/chinese-company-picks-hungary-for-its-first-european-factory/" TargetMode="External"/><Relationship Id="rId112" Type="http://schemas.openxmlformats.org/officeDocument/2006/relationships/hyperlink" Target="https://www.bloomberg.com/news/features/2025-07-22/us-tariffs-drive-europe-to-rethink-its-china-trade-relationship" TargetMode="External"/><Relationship Id="rId133" Type="http://schemas.openxmlformats.org/officeDocument/2006/relationships/hyperlink" Target="https://www.nordfranceinvest.com/news/xtc-orano-one-project-4-activities-around-cathodes-in-hauts-de-france/" TargetMode="External"/><Relationship Id="rId154" Type="http://schemas.openxmlformats.org/officeDocument/2006/relationships/hyperlink" Target="https://www.energy-storage.news/canadian-solar-to-manufacture-bess-and-cells-at-kentucky-plant-after-enervenue-backs-out/" TargetMode="External"/><Relationship Id="rId175" Type="http://schemas.openxmlformats.org/officeDocument/2006/relationships/hyperlink" Target="https://www.pv-magazine.com/2024/11/21/azerbaijan-awards-100-mw-of-solar-with-lowest-bid-of-0-0354-kwh/" TargetMode="External"/><Relationship Id="rId196" Type="http://schemas.openxmlformats.org/officeDocument/2006/relationships/hyperlink" Target="https://hipa.hu/news/semcorp-opens-its-first-production-unit-outside-china-in-hungary/" TargetMode="External"/><Relationship Id="rId200" Type="http://schemas.openxmlformats.org/officeDocument/2006/relationships/hyperlink" Target="https://www.semcorp.com/Public/Uploads/uploadfile/files/20250610/enjiegufen2024nianniandubaogaoyingwenban.pdf" TargetMode="External"/><Relationship Id="rId16" Type="http://schemas.openxmlformats.org/officeDocument/2006/relationships/hyperlink" Target="https://interfax.com/newsroom/top-stories/108177/" TargetMode="External"/><Relationship Id="rId221" Type="http://schemas.openxmlformats.org/officeDocument/2006/relationships/hyperlink" Target="https://www.leadersleague.com/en/news/china-three-gorges-purchases-additional-stake-in-peru-s-luz-del-sur" TargetMode="External"/><Relationship Id="rId37" Type="http://schemas.openxmlformats.org/officeDocument/2006/relationships/hyperlink" Target="https://investors.canadiansolar.com/news-releases/news-release-details/recurrent-energy-signs-300-mw-power-purchase-agreement-major-us" TargetMode="External"/><Relationship Id="rId58" Type="http://schemas.openxmlformats.org/officeDocument/2006/relationships/hyperlink" Target="https://www.worldconstructionnetwork.com/news/state-grid-brazil-holding-construction-electricity-transmission-project/" TargetMode="External"/><Relationship Id="rId79" Type="http://schemas.openxmlformats.org/officeDocument/2006/relationships/hyperlink" Target="https://www.ft.com/content/b2c41a7d-02fa-4846-ab50-dd27e534dcf5?emailId=5e13ccab-d30c-479a-acf9-568926497a10&amp;segmentId=60a126e8-df3c-b524-c979-f90bde8a67cd" TargetMode="External"/><Relationship Id="rId102" Type="http://schemas.openxmlformats.org/officeDocument/2006/relationships/hyperlink" Target="https://cnevpost.com/2025/05/19/changan-thailand-plant-goes-into-operation/" TargetMode="External"/><Relationship Id="rId123" Type="http://schemas.openxmlformats.org/officeDocument/2006/relationships/hyperlink" Target="https://www.nationthailand.com/business/automobile/40033622" TargetMode="External"/><Relationship Id="rId144" Type="http://schemas.openxmlformats.org/officeDocument/2006/relationships/hyperlink" Target="https://autorecyclingworld.com/huayou-cobalt-building-a-global-circular-economy-through-battery-recycling/" TargetMode="External"/><Relationship Id="rId90" Type="http://schemas.openxmlformats.org/officeDocument/2006/relationships/hyperlink" Target="https://hungarytoday.hu/green-light-for-eve-powers-battery-factory-in-debrecen/" TargetMode="External"/><Relationship Id="rId165" Type="http://schemas.openxmlformats.org/officeDocument/2006/relationships/hyperlink" Target="https://www.argusmedia.com/en/news-and-insights/latest-market-news/2628091-cngr-s-nni-produces-high-grade-ni-matte-in-indonesia" TargetMode="External"/><Relationship Id="rId186" Type="http://schemas.openxmlformats.org/officeDocument/2006/relationships/hyperlink" Target="https://www.yicaiglobal.com/news/chinese-shipping-tycoon-takes-over-battery-materials-giant-shanshan-amid-court-led-restructuring/" TargetMode="External"/><Relationship Id="rId211" Type="http://schemas.openxmlformats.org/officeDocument/2006/relationships/hyperlink" Target="https://www.ft.com/content/9ce6ac8b-3c90-4ff0-a68c-d3aed51c2940?emailId=1986fbe3-eb32-44d6-b799-2bdd9c9068c1&amp;segmentId=60a126e8-df3c-b524-c979-f90bde8a67cd" TargetMode="External"/><Relationship Id="rId232" Type="http://schemas.openxmlformats.org/officeDocument/2006/relationships/hyperlink" Target="https://www.pv-tech.org/corning-acquires-ja-solar-2gw-us-module-assembly-plant/" TargetMode="External"/><Relationship Id="rId27" Type="http://schemas.openxmlformats.org/officeDocument/2006/relationships/hyperlink" Target="https://list.solar/news/ja-solar-launches/" TargetMode="External"/><Relationship Id="rId48" Type="http://schemas.openxmlformats.org/officeDocument/2006/relationships/hyperlink" Target="https://www.bloomberg.com/news/articles/2025-05-16/china-s-solar-firms-to-speed-up-global-push-under-tariff-truce?cmpid=BBD051625_GREENDAILY&amp;utm_medium=email&amp;utm_source=newsletter&amp;utm_term=250516&amp;utm_campaign=greendaily" TargetMode="External"/><Relationship Id="rId69" Type="http://schemas.openxmlformats.org/officeDocument/2006/relationships/hyperlink" Target="https://balkangreenenergynews.com/turkish-chinese-joint-venture-to-build-two-pv-plants-in-romania/" TargetMode="External"/><Relationship Id="rId113" Type="http://schemas.openxmlformats.org/officeDocument/2006/relationships/hyperlink" Target="https://reglobal.org/sungrow-hydrogen-plans-electrolyser-facility-in-oman/" TargetMode="External"/><Relationship Id="rId134" Type="http://schemas.openxmlformats.org/officeDocument/2006/relationships/hyperlink" Target="https://www.seaisi.org/details/26757?type=news-rooms&amp;utm_source=chatgpt.com" TargetMode="External"/><Relationship Id="rId80" Type="http://schemas.openxmlformats.org/officeDocument/2006/relationships/hyperlink" Target="https://www.energytrend.com/pricequotes/20250125-49030.html" TargetMode="External"/><Relationship Id="rId155" Type="http://schemas.openxmlformats.org/officeDocument/2006/relationships/hyperlink" Target="https://www.theglobeandmail.com/investing/markets/markets-news/ACN%20Newswire/34439272/calb-3931-hk-announces-2025-interim-results/" TargetMode="External"/><Relationship Id="rId176" Type="http://schemas.openxmlformats.org/officeDocument/2006/relationships/hyperlink" Target="https://www.power-technology.com/marketdata/power-plant-profile-maestrale-ring-wind-farm-serbia/?cf-view" TargetMode="External"/><Relationship Id="rId197" Type="http://schemas.openxmlformats.org/officeDocument/2006/relationships/hyperlink" Target="https://www.bizjournals.com/dayton/news/2025/04/01/semcorp-expansion-update-phases-complete-sidney.html" TargetMode="External"/><Relationship Id="rId201" Type="http://schemas.openxmlformats.org/officeDocument/2006/relationships/hyperlink" Target="https://www.saurenergy.com/solar-energy-news/egypt-signs-usd-18-billion-deals-with-scatec-and-sungrow-for-major-solar-and-battery-projects-10990473" TargetMode="External"/><Relationship Id="rId222" Type="http://schemas.openxmlformats.org/officeDocument/2006/relationships/hyperlink" Target="https://www.americaeconomia.com/en/business-industries/bcp-granted-green-financing-more-us-100-million-luz-del-sur" TargetMode="External"/><Relationship Id="rId17" Type="http://schemas.openxmlformats.org/officeDocument/2006/relationships/hyperlink" Target="https://renewablesnow.com/news/goldwind-inaugurates-factory-in-brazils-bahia-1st-outside-china-867206/" TargetMode="External"/><Relationship Id="rId38" Type="http://schemas.openxmlformats.org/officeDocument/2006/relationships/hyperlink" Target="https://www.pv-magazine.com/press-releases/astronergy-thailand-manufacturing-base-perfects-its-industry-chain-with-wafer-lines/" TargetMode="External"/><Relationship Id="rId59" Type="http://schemas.openxmlformats.org/officeDocument/2006/relationships/hyperlink" Target="https://english.news.cn/africa/20250406/3ea12c4b1b6e4fdc9911d2968aeee9c3/c.html" TargetMode="External"/><Relationship Id="rId103" Type="http://schemas.openxmlformats.org/officeDocument/2006/relationships/hyperlink" Target="https://www.scmp.com/business/banking-finance/article/3310931/stellantis-relocating-chinese-ev-maker-leapmotors-european-production-poland" TargetMode="External"/><Relationship Id="rId124" Type="http://schemas.openxmlformats.org/officeDocument/2006/relationships/hyperlink" Target="https://cnevpost.com/2024/10/27/svolt-confirms-will-end-operations-europe/" TargetMode="External"/><Relationship Id="rId70" Type="http://schemas.openxmlformats.org/officeDocument/2006/relationships/hyperlink" Target="https://interfax.com/newsroom/top-stories/114796/" TargetMode="External"/><Relationship Id="rId91" Type="http://schemas.openxmlformats.org/officeDocument/2006/relationships/hyperlink" Target="https://cnevpost.com/2025/03/13/thailand-approves-sunwoda-investment-ev-battery-cell-plants/" TargetMode="External"/><Relationship Id="rId145" Type="http://schemas.openxmlformats.org/officeDocument/2006/relationships/hyperlink" Target="https://www.kedglobal.com/batteries/newsView/ked202303230027" TargetMode="External"/><Relationship Id="rId166" Type="http://schemas.openxmlformats.org/officeDocument/2006/relationships/hyperlink" Target="https://www.petromindo.com/news/article/cngr-plans-major-nickel-based-pcam-and-nickel-production-expansion-in-indonesia" TargetMode="External"/><Relationship Id="rId187" Type="http://schemas.openxmlformats.org/officeDocument/2006/relationships/hyperlink" Target="https://www.forumchinaplp.org.mo/en/economic_trade/view/2722" TargetMode="External"/><Relationship Id="rId1" Type="http://schemas.openxmlformats.org/officeDocument/2006/relationships/hyperlink" Target="https://www.monsoonwindasia.com/news-and-updates-2/achieve-key-milestone-project-energization" TargetMode="External"/><Relationship Id="rId212" Type="http://schemas.openxmlformats.org/officeDocument/2006/relationships/hyperlink" Target="https://autonews.gasgoo.com/articles/ev/eve-energy-deepens-southeast-asia-push-with-indonesia-battery-ecosystem-pact-2018569023271051265?utm_source=volta_newsletter&amp;utm_medium=linkedin&amp;utm_campaign=volta_newsletter_20260206" TargetMode="External"/><Relationship Id="rId233" Type="http://schemas.openxmlformats.org/officeDocument/2006/relationships/hyperlink" Target="https://www.ft.com/content/8f5b7a2b-149c-4084-8acb-70459fad8491?emailId=0a30cbf5-6d44-48fd-a044-b36d7c8f5c8c&amp;segmentId=60a126e8-df3c-b524-c979-f90bde8a67cd&amp;syn-25a6b1a6=1" TargetMode="External"/><Relationship Id="rId28" Type="http://schemas.openxmlformats.org/officeDocument/2006/relationships/hyperlink" Target="https://www.pv-magazine.com/2024/11/19/das-solar-to-build-3-gw-solar-module-factory-in-france/" TargetMode="External"/><Relationship Id="rId49" Type="http://schemas.openxmlformats.org/officeDocument/2006/relationships/hyperlink" Target="https://pv-magazine-usa.com/2025/03/28/global-path-leads-to-solar-manufacturing-in-indianapolis/" TargetMode="External"/><Relationship Id="rId114" Type="http://schemas.openxmlformats.org/officeDocument/2006/relationships/hyperlink" Target="https://www.mining.com/web/indonesia-forms-1-2-billion-battery-venture-with-chinas-catl/" TargetMode="External"/><Relationship Id="rId60" Type="http://schemas.openxmlformats.org/officeDocument/2006/relationships/hyperlink" Target="https://en.powerchina.cn/2025-09/15/c_828999.htm" TargetMode="External"/><Relationship Id="rId81" Type="http://schemas.openxmlformats.org/officeDocument/2006/relationships/hyperlink" Target="https://www.scmp.com/business/china-evs/article/3299099/chinese-ev-maker-geely-joins-byd-brazil-push-deal-renault" TargetMode="External"/><Relationship Id="rId135" Type="http://schemas.openxmlformats.org/officeDocument/2006/relationships/hyperlink" Target="https://www.pv-magazine.com/2025/11/17/a-late-but-decisive-move-to-ess-longi-takes-majority-control-of-potisedge/" TargetMode="External"/><Relationship Id="rId156" Type="http://schemas.openxmlformats.org/officeDocument/2006/relationships/hyperlink" Target="https://asia.nikkei.com/spotlight/supply-chain/china-auto-parts-makers-triple-in-thailand-on-ev-battery-rush" TargetMode="External"/><Relationship Id="rId177" Type="http://schemas.openxmlformats.org/officeDocument/2006/relationships/hyperlink" Target="https://chinaglobalsouth.com/2025/03/02/chinas-xpeng-expands-in-indonesia-local-ev-production-and-nickel-battery-plans/" TargetMode="External"/><Relationship Id="rId198" Type="http://schemas.openxmlformats.org/officeDocument/2006/relationships/hyperlink" Target="https://www.reuters.com/business/autos-transportation/semcorp-invest-916-million-make-ev-battery-components-ohio-2022-05-05/" TargetMode="External"/><Relationship Id="rId202" Type="http://schemas.openxmlformats.org/officeDocument/2006/relationships/hyperlink" Target="https://en.cnesa.org/latest-news/2026/1/13/sunglow-energys-first-energy-storage-plant-in-the-middle-east-launchedwith-an-annual-capacity-of-10-gwh" TargetMode="External"/><Relationship Id="rId223" Type="http://schemas.openxmlformats.org/officeDocument/2006/relationships/hyperlink" Target="https://www.ctgi.cn/ctgi/new/esg_news_and_reports/shouye/2025101610492879215/index.html" TargetMode="External"/><Relationship Id="rId18" Type="http://schemas.openxmlformats.org/officeDocument/2006/relationships/hyperlink" Target="https://www.omanobserver.om/article/1168994/business/economy/wind-turbines-factory-launched-in-sezad" TargetMode="External"/><Relationship Id="rId39" Type="http://schemas.openxmlformats.org/officeDocument/2006/relationships/hyperlink" Target="https://www.pv-magazine.com/2025/04/02/astronergy-to-build-500-million-solar-cell-factory-in-turkey/" TargetMode="External"/><Relationship Id="rId50" Type="http://schemas.openxmlformats.org/officeDocument/2006/relationships/hyperlink" Target="https://www.pv-magazine.com/2025/04/24/das-solar-plans-3-gw-solar-module-factory-in-france/" TargetMode="External"/><Relationship Id="rId104" Type="http://schemas.openxmlformats.org/officeDocument/2006/relationships/hyperlink" Target="https://battery-tech.net/battery-markets-news/aesc-launches-10gwh-douai-gigafactory-to-power-renault-evs/" TargetMode="External"/><Relationship Id="rId125" Type="http://schemas.openxmlformats.org/officeDocument/2006/relationships/hyperlink" Target="https://www.ess-news.com/2024/09/18/huawei-unveils-worlds-largest-microgrid-featuring-1-3-gwh-of-battery-storage/" TargetMode="External"/><Relationship Id="rId146" Type="http://schemas.openxmlformats.org/officeDocument/2006/relationships/hyperlink" Target="https://www.yicaiglobal.com/news/chinas-huayou-cobalt-gains-after-hungarian-plant-lands-another-big-battery-materials-order" TargetMode="External"/><Relationship Id="rId167" Type="http://schemas.openxmlformats.org/officeDocument/2006/relationships/hyperlink" Target="https://www.energytrend.com/news/20251125-50463.html" TargetMode="External"/><Relationship Id="rId188" Type="http://schemas.openxmlformats.org/officeDocument/2006/relationships/hyperlink" Target="https://www.reuters.com/business/energy/chinas-spic-invests-147-million-brazil-wind-farms-launches-solar-parks-2024-06-05/" TargetMode="External"/><Relationship Id="rId71" Type="http://schemas.openxmlformats.org/officeDocument/2006/relationships/hyperlink" Target="https://energy.gov.ng/news-detail.php?slug=nigeria-finalises-partnership-with-the-world-s-largest-solar-panel-production-company-longi-at-its-headquarters-in-china" TargetMode="External"/><Relationship Id="rId92" Type="http://schemas.openxmlformats.org/officeDocument/2006/relationships/hyperlink" Target="https://cnevpost.com/2023/12/20/svolt-thailand-plant-1st-battery-pack-off-line/" TargetMode="External"/><Relationship Id="rId213" Type="http://schemas.openxmlformats.org/officeDocument/2006/relationships/hyperlink" Target="https://www.bloomberg.com/news/articles/2025-12-12/china-southern-power-s-transelec-talks-are-said-to-face-delays" TargetMode="External"/><Relationship Id="rId234" Type="http://schemas.openxmlformats.org/officeDocument/2006/relationships/hyperlink" Target="https://www.ft.com/content/3bbf79be-08f7-4012-b0b7-a5894181af1b?utm_campaign=China%20Briefing%20EV%20profits%20rise%20Ming%20Yang%20rejected%20Iran%20war&amp;utm_medium=email&amp;utm_source=cbnewsletter&amp;utm_term=2026-04-03&amp;syn-25a6b1a6=1" TargetMode="External"/><Relationship Id="rId2" Type="http://schemas.openxmlformats.org/officeDocument/2006/relationships/hyperlink" Target="https://renewablesnow.com/news/nordic-renewables-firm-emergy-to-sell-168-mw-wind-project-in-serbia-1271365/" TargetMode="External"/><Relationship Id="rId29" Type="http://schemas.openxmlformats.org/officeDocument/2006/relationships/hyperlink" Target="https://www.imperialstar.com/post/imperial-star-solar-s-strategic-expansion-launching-a-new-wafer-factory-in-laos-to-complete-our-int" TargetMode="External"/><Relationship Id="rId40" Type="http://schemas.openxmlformats.org/officeDocument/2006/relationships/hyperlink" Target="https://taiyangnews.info/markets/trina-solar-to-make-big-move-to-the-middle-east" TargetMode="External"/><Relationship Id="rId115" Type="http://schemas.openxmlformats.org/officeDocument/2006/relationships/hyperlink" Target="https://hipa.hu/hir/Szolnok-HIPA-beruhazas-KunlumChem/" TargetMode="External"/><Relationship Id="rId136" Type="http://schemas.openxmlformats.org/officeDocument/2006/relationships/hyperlink" Target="https://techcrunch.com/2025/02/06/tracking-the-ev-battery-factory-construction-boom-across-north-america/" TargetMode="External"/><Relationship Id="rId157" Type="http://schemas.openxmlformats.org/officeDocument/2006/relationships/hyperlink" Target="https://www.energy-storage.news/chinese-battery-manufacturer-hithium-ships-first-units-from-texas-bess-assembly-plant/" TargetMode="External"/><Relationship Id="rId178" Type="http://schemas.openxmlformats.org/officeDocument/2006/relationships/hyperlink" Target="https://www.metal.com/en/newscontent/103596610" TargetMode="External"/><Relationship Id="rId61" Type="http://schemas.openxmlformats.org/officeDocument/2006/relationships/hyperlink" Target="https://www.seetaoe.com/details/248621.html?utm_source=chatgpt.com" TargetMode="External"/><Relationship Id="rId82" Type="http://schemas.openxmlformats.org/officeDocument/2006/relationships/hyperlink" Target="https://www.linkedin.com/posts/mlkubik_batteries-energystorage-renewables-activity-7306258597649219585-uAL4?utm_source=share&amp;utm_medium=member_desktop&amp;rcm=ACoAAAK_xL4BN5TFIx7F-X4g0YfwtHJ1QLTvZoQ" TargetMode="External"/><Relationship Id="rId199" Type="http://schemas.openxmlformats.org/officeDocument/2006/relationships/hyperlink" Target="https://www.energytrend.com/news/20220518-28437.html" TargetMode="External"/><Relationship Id="rId203" Type="http://schemas.openxmlformats.org/officeDocument/2006/relationships/hyperlink" Target="https://www.pv-tech.org/ceec-commissions-400mw-of-1gw-uzbekistan-solar-project/" TargetMode="External"/><Relationship Id="rId19" Type="http://schemas.openxmlformats.org/officeDocument/2006/relationships/hyperlink" Target="https://www.pif.gov.sa/en/news-and-insights/press-releases/2024/pif-strengthens-renewable-energy-localization-in-saudi-arabia-with-three-new-joint-ventures/" TargetMode="External"/><Relationship Id="rId224" Type="http://schemas.openxmlformats.org/officeDocument/2006/relationships/hyperlink" Target="https://www.ctg.com.cn/ctgenglish/news_media/news37/2025122215512388368/index.html" TargetMode="External"/><Relationship Id="rId30" Type="http://schemas.openxmlformats.org/officeDocument/2006/relationships/hyperlink" Target="https://taiyangnews.info/opinion/solarspace-promotes-laos-made-cells-us-module-makers-re-2024" TargetMode="External"/><Relationship Id="rId105" Type="http://schemas.openxmlformats.org/officeDocument/2006/relationships/hyperlink" Target="https://baijiahao.baidu.com/s?id=1830655704147198327&amp;wfr=spider&amp;for=pc" TargetMode="External"/><Relationship Id="rId126" Type="http://schemas.openxmlformats.org/officeDocument/2006/relationships/hyperlink" Target="https://battery-tech.net/battery-markets-news/imerys-and-shanshan-to-build-graphite-anode-plant-in-europe/" TargetMode="External"/><Relationship Id="rId147" Type="http://schemas.openxmlformats.org/officeDocument/2006/relationships/hyperlink" Target="https://www.reuters.com/technology/chinas-huayou-replace-lges-indonesian-ev-battery-project-minister-says-2025-04-23/" TargetMode="External"/><Relationship Id="rId168" Type="http://schemas.openxmlformats.org/officeDocument/2006/relationships/hyperlink" Target="https://www.metal.com/en/newscontent/103116350" TargetMode="External"/><Relationship Id="rId51" Type="http://schemas.openxmlformats.org/officeDocument/2006/relationships/hyperlink" Target="https://www.pv-tech.org/longi-to-build-1-4gw-bc-solar-module-factory-with-indonesias-pertamina/" TargetMode="External"/><Relationship Id="rId72" Type="http://schemas.openxmlformats.org/officeDocument/2006/relationships/hyperlink" Target="https://en.goodwe.com/goodwe-officially-announces-inauguration-of-first-overseas-manufacturing-base-a-globalization-milestone" TargetMode="External"/><Relationship Id="rId93" Type="http://schemas.openxmlformats.org/officeDocument/2006/relationships/hyperlink" Target="https://cnevpost.com/2023/07/27/eve-energy-to-build-battery-base-thailand/" TargetMode="External"/><Relationship Id="rId189" Type="http://schemas.openxmlformats.org/officeDocument/2006/relationships/hyperlink" Target="https://balkangreenenergynews.com/turkish-chinese-joint-venture-to-build-two-pv-plants-in-romania/" TargetMode="External"/><Relationship Id="rId3" Type="http://schemas.openxmlformats.org/officeDocument/2006/relationships/hyperlink" Target="https://serbia-energy.eu/black-peak-150mw-wind-park-construction-pushed-forward-with-new-chinese-owners/" TargetMode="External"/><Relationship Id="rId214" Type="http://schemas.openxmlformats.org/officeDocument/2006/relationships/hyperlink" Target="https://www.seetaoe.com/details/244455.html" TargetMode="External"/><Relationship Id="rId235" Type="http://schemas.openxmlformats.org/officeDocument/2006/relationships/hyperlink" Target="https://finance.yahoo.com/news/byd-explores-canada-plant-potential-113505920.html?guccounter=1&amp;guce_referrer=aHR0cHM6Ly93d3cubGlua2VkaW4uY29tLw&amp;guce_referrer_sig=AQAAALWUlePBvEuIGKIt7JHsvAUeETZsUujxXXYW0yNcJO_inh2W5zldsJom-pVof7ZdIov1e3N4vA3u7jCMo541NrARkUaas6-87ZvieISMOYlbsEjYjZMnFH-VgTack33NX7Brn53qLrPFFKt--NCjhXB3IAkvdm7YXqyat3IlAfJ9" TargetMode="External"/><Relationship Id="rId116" Type="http://schemas.openxmlformats.org/officeDocument/2006/relationships/hyperlink" Target="https://reneweconomy.com.au/china-solar-giant-trina-seeks-approval-for-biggest-battery-project-in-australia/" TargetMode="External"/><Relationship Id="rId137" Type="http://schemas.openxmlformats.org/officeDocument/2006/relationships/hyperlink" Target="https://goodmenproject.com/featured-content/indonesia-has-a-waste-problem-does-china-have-a-solution/" TargetMode="External"/><Relationship Id="rId158" Type="http://schemas.openxmlformats.org/officeDocument/2006/relationships/hyperlink" Target="https://api.investi.com.au/api/announcements/ev1/7da8a0b3-749.pdf" TargetMode="External"/><Relationship Id="rId20" Type="http://schemas.openxmlformats.org/officeDocument/2006/relationships/hyperlink" Target="https://www.rechargenews.com/energy-transition/second-chinese-wind-turbine-maker-unveils-kazakhstan-factory-plan/2-1-1747090" TargetMode="External"/><Relationship Id="rId41" Type="http://schemas.openxmlformats.org/officeDocument/2006/relationships/hyperlink" Target="https://taiyangnews.info/business/chinese-polysilicon-company-eyeing-middle-east" TargetMode="External"/><Relationship Id="rId62" Type="http://schemas.openxmlformats.org/officeDocument/2006/relationships/hyperlink" Target="https://www.pv-magazine.com/2025/10/28/singapore-china-to-supply-solar-plus-storage-power-from-indonesia/" TargetMode="External"/><Relationship Id="rId83" Type="http://schemas.openxmlformats.org/officeDocument/2006/relationships/hyperlink" Target="https://www.reuters.com/business/autos-transportation/byd-considers-germany-third-plant-europe-2025-03-17/" TargetMode="External"/><Relationship Id="rId179" Type="http://schemas.openxmlformats.org/officeDocument/2006/relationships/hyperlink" Target="https://www.agbi.com/renewable-energy/2025/08/china-sungrow-to-build-oman-first-specialist-green-hydrogen-plant/" TargetMode="External"/><Relationship Id="rId190" Type="http://schemas.openxmlformats.org/officeDocument/2006/relationships/hyperlink" Target="https://jebridge.jp/en/2025/08/20/poland-manufacturing-investments/" TargetMode="External"/><Relationship Id="rId204" Type="http://schemas.openxmlformats.org/officeDocument/2006/relationships/hyperlink" Target="https://iea.blob.core.windows.net/assets/ab4a7941-6bea-48fd-93b8-33f24fea3338/ChinasOfficialEnergyFinanceinEmergingandDevelopingEconomies.pdf" TargetMode="External"/><Relationship Id="rId225" Type="http://schemas.openxmlformats.org/officeDocument/2006/relationships/hyperlink" Target="https://en.cnesa.org/latest-news/2026/1/25/tianneng-signs-a-1gwh-project-in-malaysia-build-a-benchmark-for-integrated-solar-storage-computingsolution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loomberg.com/news/articles/2026-04-15/chinese-nickel-tycoon-taps-top-global-traders-for-aluminum-push?accessToken=eyJhbGciOiJIUzI1NiIsInR5cCI6IkpXVCJ9.eyJzb3VyY2UiOiJTdWJzY3JpYmVyR2lmdGVkQXJ0aWNsZSIsImlhdCI6MTc3NjI2NTIzOCwiZXhwIjoxNzc2ODcwMDM4LCJhcnRpY2xlSWQiOiJUREY2MEJLSzNOWUUwMCIsImJjb25uZWN0SWQiOiI2NDE3Q0MyOEI4QUI0ODU5QjkyRjU0RURBQ0EzN0EwOCJ9.rYBHP7C8SGzJGVol8Hjj4S9on7Uj-9lYsPCV88CZ63U" TargetMode="External"/><Relationship Id="rId7" Type="http://schemas.openxmlformats.org/officeDocument/2006/relationships/table" Target="../tables/table7.xml"/><Relationship Id="rId2" Type="http://schemas.openxmlformats.org/officeDocument/2006/relationships/hyperlink" Target="https://www.hpcarbonmachine.com/news/how-many-new-and-planned-electrolytic-aluminum-projects-are-there/" TargetMode="External"/><Relationship Id="rId1" Type="http://schemas.openxmlformats.org/officeDocument/2006/relationships/hyperlink" Target="https://www.cnbcafrica.com/2025/huayou-to-start-zimbabwe-lithium-sulphate-production-early-2026" TargetMode="External"/><Relationship Id="rId6" Type="http://schemas.openxmlformats.org/officeDocument/2006/relationships/hyperlink" Target="https://vale.com/w/vale-and-jinnan-steel-and-iron-group-annouce-investment-in-iron-ore-concentration-plant-in-oman" TargetMode="External"/><Relationship Id="rId5" Type="http://schemas.openxmlformats.org/officeDocument/2006/relationships/hyperlink" Target="https://www.mining.com/argentina-lithium-enters-100m-deal-with-chinese-partner-to-advance-rincon-west/" TargetMode="External"/><Relationship Id="rId4" Type="http://schemas.openxmlformats.org/officeDocument/2006/relationships/hyperlink" Target="https://wcsecure.weblink.com.au/pdf/GL1/03081300.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C5293-6DE0-8442-B77B-5D2D488F0A7F}">
  <sheetPr>
    <tabColor theme="0" tint="-0.14999847407452621"/>
  </sheetPr>
  <dimension ref="B10:B25"/>
  <sheetViews>
    <sheetView showGridLines="0" workbookViewId="0"/>
  </sheetViews>
  <sheetFormatPr baseColWidth="10" defaultRowHeight="16" x14ac:dyDescent="0.2"/>
  <cols>
    <col min="1" max="1" width="10.5" style="45" customWidth="1"/>
    <col min="2" max="2" width="71.6640625" style="45" customWidth="1"/>
    <col min="3" max="16384" width="10.83203125" style="45"/>
  </cols>
  <sheetData>
    <row r="10" spans="2:2" x14ac:dyDescent="0.2">
      <c r="B10" s="44" t="s">
        <v>1083</v>
      </c>
    </row>
    <row r="12" spans="2:2" x14ac:dyDescent="0.2">
      <c r="B12" s="45" t="s">
        <v>1084</v>
      </c>
    </row>
    <row r="13" spans="2:2" x14ac:dyDescent="0.2">
      <c r="B13" s="46" t="s">
        <v>1085</v>
      </c>
    </row>
    <row r="15" spans="2:2" x14ac:dyDescent="0.2">
      <c r="B15" s="45" t="s">
        <v>1086</v>
      </c>
    </row>
    <row r="16" spans="2:2" x14ac:dyDescent="0.2">
      <c r="B16" s="47" t="s">
        <v>1087</v>
      </c>
    </row>
    <row r="17" spans="2:2" x14ac:dyDescent="0.2">
      <c r="B17" s="46" t="s">
        <v>1088</v>
      </c>
    </row>
    <row r="18" spans="2:2" x14ac:dyDescent="0.2">
      <c r="B18" s="47" t="s">
        <v>1089</v>
      </c>
    </row>
    <row r="19" spans="2:2" x14ac:dyDescent="0.2">
      <c r="B19" s="46" t="s">
        <v>1090</v>
      </c>
    </row>
    <row r="20" spans="2:2" x14ac:dyDescent="0.2">
      <c r="B20" s="46"/>
    </row>
    <row r="21" spans="2:2" x14ac:dyDescent="0.2">
      <c r="B21" s="46"/>
    </row>
    <row r="22" spans="2:2" s="49" customFormat="1" ht="64" x14ac:dyDescent="0.2">
      <c r="B22" s="48" t="s">
        <v>1091</v>
      </c>
    </row>
    <row r="24" spans="2:2" x14ac:dyDescent="0.2">
      <c r="B24" s="47" t="s">
        <v>1092</v>
      </c>
    </row>
    <row r="25" spans="2:2" ht="192" x14ac:dyDescent="0.2">
      <c r="B25" s="50" t="s">
        <v>1093</v>
      </c>
    </row>
  </sheetData>
  <hyperlinks>
    <hyperlink ref="B13" r:id="rId1" xr:uid="{2CD489B0-DF65-CB40-9312-3F27380B1D0E}"/>
    <hyperlink ref="B17" r:id="rId2" xr:uid="{C6C60EA1-8EC3-A04E-BC03-F100C379D16F}"/>
    <hyperlink ref="B19" r:id="rId3" xr:uid="{6C17E556-64FF-DC40-92F5-AD5296F3883F}"/>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6ACE-37B1-C44C-8736-31D8A8227D23}">
  <sheetPr>
    <tabColor theme="3" tint="0.89999084444715716"/>
  </sheetPr>
  <dimension ref="A1:I12"/>
  <sheetViews>
    <sheetView showGridLines="0" workbookViewId="0">
      <selection activeCell="P39" sqref="P39"/>
    </sheetView>
  </sheetViews>
  <sheetFormatPr baseColWidth="10" defaultRowHeight="16" x14ac:dyDescent="0.2"/>
  <cols>
    <col min="1" max="1" width="30.83203125" bestFit="1" customWidth="1"/>
    <col min="2" max="2" width="18" bestFit="1" customWidth="1"/>
    <col min="3" max="4" width="12.83203125" bestFit="1" customWidth="1"/>
    <col min="5" max="5" width="11.83203125" bestFit="1" customWidth="1"/>
    <col min="6" max="6" width="12.83203125" bestFit="1" customWidth="1"/>
    <col min="7" max="7" width="12.1640625" bestFit="1" customWidth="1"/>
    <col min="8" max="8" width="12.83203125" bestFit="1" customWidth="1"/>
    <col min="9" max="9" width="13.83203125" bestFit="1" customWidth="1"/>
  </cols>
  <sheetData>
    <row r="1" spans="1:9" ht="19" x14ac:dyDescent="0.25">
      <c r="A1" s="84" t="s">
        <v>1281</v>
      </c>
    </row>
    <row r="3" spans="1:9" x14ac:dyDescent="0.2">
      <c r="A3" s="16" t="s">
        <v>1249</v>
      </c>
      <c r="B3" s="16" t="s">
        <v>914</v>
      </c>
    </row>
    <row r="4" spans="1:9" x14ac:dyDescent="0.2">
      <c r="A4" s="16" t="s">
        <v>911</v>
      </c>
      <c r="B4" t="s">
        <v>1214</v>
      </c>
      <c r="C4" t="s">
        <v>1184</v>
      </c>
      <c r="D4" t="s">
        <v>1177</v>
      </c>
      <c r="E4" t="s">
        <v>1139</v>
      </c>
      <c r="F4" t="s">
        <v>1237</v>
      </c>
      <c r="G4" t="s">
        <v>1133</v>
      </c>
      <c r="H4" t="s">
        <v>1255</v>
      </c>
      <c r="I4" t="s">
        <v>912</v>
      </c>
    </row>
    <row r="5" spans="1:9" x14ac:dyDescent="0.2">
      <c r="A5" s="8" t="s">
        <v>844</v>
      </c>
      <c r="B5" s="34"/>
      <c r="C5" s="34"/>
      <c r="D5" s="34"/>
      <c r="E5" s="34"/>
      <c r="F5" s="34">
        <v>37960</v>
      </c>
      <c r="G5" s="34"/>
      <c r="H5" s="34">
        <v>10080</v>
      </c>
      <c r="I5" s="34">
        <v>48040</v>
      </c>
    </row>
    <row r="6" spans="1:9" x14ac:dyDescent="0.2">
      <c r="A6" s="8" t="s">
        <v>965</v>
      </c>
      <c r="B6" s="34">
        <v>6650</v>
      </c>
      <c r="C6" s="34">
        <v>2300</v>
      </c>
      <c r="D6" s="34">
        <v>23430</v>
      </c>
      <c r="E6" s="34">
        <v>5897</v>
      </c>
      <c r="F6" s="34">
        <v>15</v>
      </c>
      <c r="G6" s="34">
        <v>136.17000000000002</v>
      </c>
      <c r="H6" s="34">
        <v>2230</v>
      </c>
      <c r="I6" s="34">
        <v>40658.17</v>
      </c>
    </row>
    <row r="7" spans="1:9" x14ac:dyDescent="0.2">
      <c r="A7" s="8" t="s">
        <v>845</v>
      </c>
      <c r="B7" s="34"/>
      <c r="C7" s="34">
        <v>14000</v>
      </c>
      <c r="D7" s="34">
        <v>627</v>
      </c>
      <c r="E7" s="34"/>
      <c r="F7" s="34"/>
      <c r="G7" s="34"/>
      <c r="H7" s="34"/>
      <c r="I7" s="34">
        <v>14627</v>
      </c>
    </row>
    <row r="8" spans="1:9" x14ac:dyDescent="0.2">
      <c r="A8" s="8" t="s">
        <v>29</v>
      </c>
      <c r="B8" s="34">
        <v>1770</v>
      </c>
      <c r="C8" s="34"/>
      <c r="D8" s="34">
        <v>1800</v>
      </c>
      <c r="E8" s="34">
        <v>2632</v>
      </c>
      <c r="F8" s="34">
        <v>500</v>
      </c>
      <c r="G8" s="34"/>
      <c r="H8" s="34">
        <v>902</v>
      </c>
      <c r="I8" s="34">
        <v>7604</v>
      </c>
    </row>
    <row r="9" spans="1:9" x14ac:dyDescent="0.2">
      <c r="A9" s="8" t="s">
        <v>31</v>
      </c>
      <c r="B9" s="34">
        <v>5700</v>
      </c>
      <c r="C9" s="34">
        <v>1200</v>
      </c>
      <c r="D9" s="34"/>
      <c r="E9" s="34">
        <v>20</v>
      </c>
      <c r="F9" s="34"/>
      <c r="G9" s="34"/>
      <c r="H9" s="34"/>
      <c r="I9" s="34">
        <v>6920</v>
      </c>
    </row>
    <row r="10" spans="1:9" x14ac:dyDescent="0.2">
      <c r="A10" s="8" t="s">
        <v>30</v>
      </c>
      <c r="B10" s="34">
        <v>3800</v>
      </c>
      <c r="C10" s="34"/>
      <c r="D10" s="34"/>
      <c r="E10" s="34"/>
      <c r="F10" s="34"/>
      <c r="G10" s="34"/>
      <c r="H10" s="34"/>
      <c r="I10" s="34">
        <v>3800</v>
      </c>
    </row>
    <row r="11" spans="1:9" x14ac:dyDescent="0.2">
      <c r="A11" s="8" t="s">
        <v>28</v>
      </c>
      <c r="B11" s="34"/>
      <c r="C11" s="34"/>
      <c r="D11" s="34"/>
      <c r="E11" s="34">
        <v>128.78</v>
      </c>
      <c r="F11" s="34"/>
      <c r="G11" s="34"/>
      <c r="H11" s="34"/>
      <c r="I11" s="34">
        <v>128.78</v>
      </c>
    </row>
    <row r="12" spans="1:9" x14ac:dyDescent="0.2">
      <c r="A12" s="8" t="s">
        <v>912</v>
      </c>
      <c r="B12" s="34">
        <v>17920</v>
      </c>
      <c r="C12" s="34">
        <v>17500</v>
      </c>
      <c r="D12" s="34">
        <v>25857</v>
      </c>
      <c r="E12" s="34">
        <v>8677.7800000000007</v>
      </c>
      <c r="F12" s="34">
        <v>38475</v>
      </c>
      <c r="G12" s="34">
        <v>136.17000000000002</v>
      </c>
      <c r="H12" s="34">
        <v>13212</v>
      </c>
      <c r="I12" s="34">
        <v>121777.95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06842-C46F-B44E-91E0-357B056416F7}">
  <dimension ref="B2:G32"/>
  <sheetViews>
    <sheetView workbookViewId="0"/>
  </sheetViews>
  <sheetFormatPr baseColWidth="10" defaultRowHeight="16" x14ac:dyDescent="0.2"/>
  <cols>
    <col min="1" max="1" width="8" customWidth="1"/>
    <col min="2" max="2" width="29" customWidth="1"/>
    <col min="3" max="4" width="23.6640625" customWidth="1"/>
    <col min="6" max="6" width="18" customWidth="1"/>
  </cols>
  <sheetData>
    <row r="2" spans="2:7" x14ac:dyDescent="0.2">
      <c r="B2" s="1" t="s">
        <v>1110</v>
      </c>
    </row>
    <row r="4" spans="2:7" x14ac:dyDescent="0.2">
      <c r="B4" s="51" t="s">
        <v>1111</v>
      </c>
      <c r="C4" s="52" t="s">
        <v>1112</v>
      </c>
      <c r="D4" s="52" t="s">
        <v>1113</v>
      </c>
      <c r="E4" s="52" t="s">
        <v>910</v>
      </c>
      <c r="F4" s="52" t="s">
        <v>1114</v>
      </c>
    </row>
    <row r="5" spans="2:7" x14ac:dyDescent="0.2">
      <c r="B5" t="s">
        <v>1054</v>
      </c>
      <c r="C5" s="53">
        <v>0.53</v>
      </c>
      <c r="D5" s="53"/>
      <c r="E5" s="53">
        <f>(C5+D5)/2</f>
        <v>0.26500000000000001</v>
      </c>
      <c r="F5" s="54">
        <f>E5*$F$14</f>
        <v>6.1479999999999997</v>
      </c>
    </row>
    <row r="6" spans="2:7" x14ac:dyDescent="0.2">
      <c r="B6" s="1" t="s">
        <v>1113</v>
      </c>
      <c r="C6" s="53"/>
      <c r="D6" s="53"/>
      <c r="E6" s="53"/>
      <c r="F6" s="54"/>
    </row>
    <row r="7" spans="2:7" x14ac:dyDescent="0.2">
      <c r="B7" s="55" t="s">
        <v>1115</v>
      </c>
      <c r="C7" s="53"/>
      <c r="D7" s="53">
        <f>50%*51%</f>
        <v>0.255</v>
      </c>
      <c r="E7" s="53">
        <f t="shared" ref="E7:E14" si="0">(C7+D7)/2</f>
        <v>0.1275</v>
      </c>
      <c r="F7" s="54">
        <f t="shared" ref="F7:F13" si="1">E7*$F$14</f>
        <v>2.9579999999999997</v>
      </c>
    </row>
    <row r="8" spans="2:7" x14ac:dyDescent="0.2">
      <c r="B8" s="55" t="s">
        <v>1116</v>
      </c>
      <c r="C8" s="53"/>
      <c r="D8" s="53">
        <f>50%*51%</f>
        <v>0.255</v>
      </c>
      <c r="E8" s="53">
        <f t="shared" si="0"/>
        <v>0.1275</v>
      </c>
      <c r="F8" s="54">
        <f t="shared" si="1"/>
        <v>2.9579999999999997</v>
      </c>
    </row>
    <row r="9" spans="2:7" x14ac:dyDescent="0.2">
      <c r="B9" s="1" t="s">
        <v>1117</v>
      </c>
      <c r="C9" s="53"/>
      <c r="D9" s="53"/>
      <c r="E9" s="53"/>
      <c r="F9" s="54"/>
    </row>
    <row r="10" spans="2:7" x14ac:dyDescent="0.2">
      <c r="B10" s="55" t="s">
        <v>1118</v>
      </c>
      <c r="C10" s="53">
        <f>75%*47%</f>
        <v>0.35249999999999998</v>
      </c>
      <c r="D10" s="53"/>
      <c r="E10" s="53">
        <f t="shared" si="0"/>
        <v>0.17624999999999999</v>
      </c>
      <c r="F10" s="54">
        <f t="shared" si="1"/>
        <v>4.0889999999999995</v>
      </c>
    </row>
    <row r="11" spans="2:7" x14ac:dyDescent="0.2">
      <c r="B11" s="55" t="s">
        <v>1119</v>
      </c>
      <c r="C11" s="53">
        <f>20%*47%</f>
        <v>9.4E-2</v>
      </c>
      <c r="D11" s="53">
        <v>0.49</v>
      </c>
      <c r="E11" s="53">
        <f t="shared" si="0"/>
        <v>0.29199999999999998</v>
      </c>
      <c r="F11" s="54">
        <f t="shared" si="1"/>
        <v>6.7743999999999991</v>
      </c>
    </row>
    <row r="12" spans="2:7" x14ac:dyDescent="0.2">
      <c r="B12" s="55" t="s">
        <v>1120</v>
      </c>
      <c r="C12" s="56">
        <f>2.5%*47%</f>
        <v>1.175E-2</v>
      </c>
      <c r="D12" s="53"/>
      <c r="E12" s="53">
        <f t="shared" si="0"/>
        <v>5.875E-3</v>
      </c>
      <c r="F12" s="54">
        <f t="shared" si="1"/>
        <v>0.1363</v>
      </c>
    </row>
    <row r="13" spans="2:7" x14ac:dyDescent="0.2">
      <c r="B13" s="55" t="s">
        <v>169</v>
      </c>
      <c r="C13" s="56">
        <f>2.5%*47%</f>
        <v>1.175E-2</v>
      </c>
      <c r="D13" s="53"/>
      <c r="E13" s="53">
        <f t="shared" si="0"/>
        <v>5.875E-3</v>
      </c>
      <c r="F13" s="54">
        <f t="shared" si="1"/>
        <v>0.1363</v>
      </c>
    </row>
    <row r="14" spans="2:7" x14ac:dyDescent="0.2">
      <c r="B14" s="39" t="s">
        <v>910</v>
      </c>
      <c r="C14" s="57">
        <f>SUM(C5:C13)</f>
        <v>1</v>
      </c>
      <c r="D14" s="57">
        <f>SUM(D5:D13)</f>
        <v>1</v>
      </c>
      <c r="E14" s="57">
        <f t="shared" si="0"/>
        <v>1</v>
      </c>
      <c r="F14" s="39">
        <v>23.2</v>
      </c>
      <c r="G14" s="58"/>
    </row>
    <row r="15" spans="2:7" x14ac:dyDescent="0.2">
      <c r="B15" s="39" t="s">
        <v>1121</v>
      </c>
      <c r="C15" s="57">
        <f>C7+C10+C11+C12+C13</f>
        <v>0.47</v>
      </c>
      <c r="D15" s="57">
        <f>D7+D10+D11+D12+D13</f>
        <v>0.745</v>
      </c>
      <c r="E15" s="57">
        <f>E7+E10+E11+E12+E13</f>
        <v>0.60749999999999993</v>
      </c>
      <c r="F15" s="59">
        <f>F7+F10+F11+F12+F13</f>
        <v>14.093999999999998</v>
      </c>
      <c r="G15" s="58"/>
    </row>
    <row r="16" spans="2:7" x14ac:dyDescent="0.2">
      <c r="C16" s="58"/>
      <c r="D16" s="58"/>
      <c r="E16" s="58"/>
      <c r="G16" s="58"/>
    </row>
    <row r="17" spans="2:4" x14ac:dyDescent="0.2">
      <c r="B17" s="51" t="s">
        <v>1122</v>
      </c>
      <c r="C17" s="52" t="s">
        <v>1123</v>
      </c>
    </row>
    <row r="18" spans="2:4" x14ac:dyDescent="0.2">
      <c r="B18" t="s">
        <v>1124</v>
      </c>
      <c r="C18" s="58">
        <v>0.15</v>
      </c>
      <c r="D18" s="58"/>
    </row>
    <row r="19" spans="2:4" x14ac:dyDescent="0.2">
      <c r="B19" t="s">
        <v>1113</v>
      </c>
      <c r="C19" s="58">
        <f>85%/2</f>
        <v>0.42499999999999999</v>
      </c>
      <c r="D19" s="58"/>
    </row>
    <row r="20" spans="2:4" x14ac:dyDescent="0.2">
      <c r="B20" t="s">
        <v>1112</v>
      </c>
      <c r="C20" s="58">
        <f>85%/2</f>
        <v>0.42499999999999999</v>
      </c>
      <c r="D20" s="58"/>
    </row>
    <row r="21" spans="2:4" x14ac:dyDescent="0.2">
      <c r="B21" s="39" t="s">
        <v>1125</v>
      </c>
      <c r="C21" s="57">
        <f>SUM(C18:C20)</f>
        <v>1</v>
      </c>
      <c r="D21" s="58"/>
    </row>
    <row r="22" spans="2:4" x14ac:dyDescent="0.2">
      <c r="C22" s="1"/>
      <c r="D22" s="1"/>
    </row>
    <row r="32" spans="2:4" x14ac:dyDescent="0.2">
      <c r="B3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28AB-4391-DF4E-8296-1D4D0945BE01}">
  <sheetPr>
    <tabColor theme="0" tint="-0.14999847407452621"/>
  </sheetPr>
  <dimension ref="B2:C14"/>
  <sheetViews>
    <sheetView showGridLines="0" workbookViewId="0"/>
  </sheetViews>
  <sheetFormatPr baseColWidth="10" defaultRowHeight="16" x14ac:dyDescent="0.2"/>
  <cols>
    <col min="2" max="2" width="27.33203125" customWidth="1"/>
    <col min="3" max="3" width="95" customWidth="1"/>
  </cols>
  <sheetData>
    <row r="2" spans="2:3" x14ac:dyDescent="0.2">
      <c r="B2" s="51" t="s">
        <v>1108</v>
      </c>
      <c r="C2" s="51" t="s">
        <v>1109</v>
      </c>
    </row>
    <row r="3" spans="2:3" x14ac:dyDescent="0.2">
      <c r="B3" s="1"/>
      <c r="C3" s="1"/>
    </row>
    <row r="4" spans="2:3" x14ac:dyDescent="0.2">
      <c r="B4" s="66" t="s">
        <v>1094</v>
      </c>
      <c r="C4" s="67"/>
    </row>
    <row r="5" spans="2:3" x14ac:dyDescent="0.2">
      <c r="B5" s="6" t="s">
        <v>1095</v>
      </c>
      <c r="C5" t="s">
        <v>1096</v>
      </c>
    </row>
    <row r="6" spans="2:3" x14ac:dyDescent="0.2">
      <c r="B6" s="6" t="s">
        <v>1097</v>
      </c>
      <c r="C6" t="s">
        <v>1098</v>
      </c>
    </row>
    <row r="8" spans="2:3" x14ac:dyDescent="0.2">
      <c r="B8" s="68" t="s">
        <v>1099</v>
      </c>
      <c r="C8" s="69"/>
    </row>
    <row r="9" spans="2:3" x14ac:dyDescent="0.2">
      <c r="B9" s="6" t="s">
        <v>1102</v>
      </c>
      <c r="C9" t="s">
        <v>1104</v>
      </c>
    </row>
    <row r="10" spans="2:3" x14ac:dyDescent="0.2">
      <c r="B10" s="6" t="s">
        <v>1103</v>
      </c>
      <c r="C10" t="s">
        <v>1105</v>
      </c>
    </row>
    <row r="11" spans="2:3" x14ac:dyDescent="0.2">
      <c r="B11" s="6" t="s">
        <v>1100</v>
      </c>
      <c r="C11" t="s">
        <v>1106</v>
      </c>
    </row>
    <row r="12" spans="2:3" x14ac:dyDescent="0.2">
      <c r="B12" s="6" t="s">
        <v>1101</v>
      </c>
      <c r="C12" t="s">
        <v>1107</v>
      </c>
    </row>
    <row r="13" spans="2:3" x14ac:dyDescent="0.2">
      <c r="B13" s="6" t="s">
        <v>1250</v>
      </c>
      <c r="C13" t="s">
        <v>1251</v>
      </c>
    </row>
    <row r="14" spans="2:3" x14ac:dyDescent="0.2">
      <c r="B14" s="6" t="s">
        <v>1178</v>
      </c>
      <c r="C14" t="s">
        <v>1252</v>
      </c>
    </row>
  </sheetData>
  <hyperlinks>
    <hyperlink ref="B5" location="'Global Cleantech'!A1" display="Global Cleantech" xr:uid="{16FADC9D-1FFE-EB40-8328-50CCF02D4058}"/>
    <hyperlink ref="B6" location="'Resources'!A1" display="Global Resources" xr:uid="{FE2D1C53-CF6F-7345-8838-E82ACE4F061E}"/>
    <hyperlink ref="B9" location="'Region Chart'!A1" display="Region Chart" xr:uid="{3B1D4C14-8C9E-8C4A-BF5D-CC6E19A6A70E}"/>
    <hyperlink ref="B10" location="'Tech Chart'!A1" display="Technology Chart" xr:uid="{863A10F8-6477-3641-9958-145133CF7DD9}"/>
    <hyperlink ref="B11" location="'North and South'!A1" display="North and South" xr:uid="{64BD7D75-C837-7C46-9305-99710CFFC532}"/>
    <hyperlink ref="B12" location="Batteries!A1" display="Batteries" xr:uid="{9F62E1B8-1AFA-3B4D-B033-EAB972CCA712}"/>
    <hyperlink ref="B13" location="'Resource Region Chart'!A1" display="Resource Region Chart" xr:uid="{CF9A7C88-8471-4044-9DF6-6B3D5260EA14}"/>
    <hyperlink ref="B14" location="Simandou!A1" display="Simandou" xr:uid="{246AE267-677D-6847-9DA5-C9C078B2C4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1133-D07A-4647-AA82-7D4F2C937E50}">
  <sheetPr>
    <tabColor theme="0" tint="-0.14999847407452621"/>
  </sheetPr>
  <dimension ref="B2:K18"/>
  <sheetViews>
    <sheetView workbookViewId="0"/>
  </sheetViews>
  <sheetFormatPr baseColWidth="10" defaultRowHeight="16" x14ac:dyDescent="0.2"/>
  <cols>
    <col min="1" max="1" width="2.83203125" customWidth="1"/>
    <col min="2" max="2" width="33.33203125" customWidth="1"/>
    <col min="3" max="3" width="2.83203125" customWidth="1"/>
    <col min="4" max="4" width="33.33203125" customWidth="1"/>
    <col min="5" max="5" width="2.83203125" customWidth="1"/>
    <col min="6" max="6" width="33.33203125" customWidth="1"/>
    <col min="7" max="7" width="2.83203125" customWidth="1"/>
    <col min="8" max="8" width="33.33203125" customWidth="1"/>
    <col min="9" max="9" width="2.83203125" customWidth="1"/>
    <col min="10" max="10" width="30.1640625" customWidth="1"/>
  </cols>
  <sheetData>
    <row r="2" spans="2:11" x14ac:dyDescent="0.2">
      <c r="B2" s="1" t="s">
        <v>0</v>
      </c>
      <c r="D2" t="s">
        <v>17</v>
      </c>
      <c r="F2" t="s">
        <v>27</v>
      </c>
      <c r="H2" t="s">
        <v>41</v>
      </c>
      <c r="J2" t="s">
        <v>120</v>
      </c>
      <c r="K2" s="7" t="s">
        <v>124</v>
      </c>
    </row>
    <row r="3" spans="2:11" x14ac:dyDescent="0.2">
      <c r="B3" t="s">
        <v>1</v>
      </c>
      <c r="D3" t="s">
        <v>18</v>
      </c>
      <c r="F3" t="s">
        <v>28</v>
      </c>
      <c r="H3" t="s">
        <v>25</v>
      </c>
      <c r="J3" t="s">
        <v>121</v>
      </c>
      <c r="K3">
        <v>1.31</v>
      </c>
    </row>
    <row r="4" spans="2:11" x14ac:dyDescent="0.2">
      <c r="B4" t="s">
        <v>4</v>
      </c>
      <c r="D4" t="s">
        <v>19</v>
      </c>
      <c r="F4" t="s">
        <v>29</v>
      </c>
      <c r="H4" t="s">
        <v>26</v>
      </c>
      <c r="J4" t="s">
        <v>122</v>
      </c>
      <c r="K4">
        <v>1.1100000000000001</v>
      </c>
    </row>
    <row r="5" spans="2:11" x14ac:dyDescent="0.2">
      <c r="B5" t="s">
        <v>8</v>
      </c>
      <c r="D5" t="s">
        <v>20</v>
      </c>
      <c r="F5" t="s">
        <v>965</v>
      </c>
      <c r="J5" t="s">
        <v>125</v>
      </c>
      <c r="K5">
        <v>6.3E-3</v>
      </c>
    </row>
    <row r="6" spans="2:11" x14ac:dyDescent="0.2">
      <c r="B6" t="s">
        <v>9</v>
      </c>
      <c r="D6" t="s">
        <v>21</v>
      </c>
      <c r="F6" t="s">
        <v>30</v>
      </c>
      <c r="J6" t="s">
        <v>123</v>
      </c>
      <c r="K6">
        <v>0.67</v>
      </c>
    </row>
    <row r="7" spans="2:11" x14ac:dyDescent="0.2">
      <c r="B7" t="s">
        <v>13</v>
      </c>
      <c r="D7" t="s">
        <v>24</v>
      </c>
      <c r="F7" t="s">
        <v>31</v>
      </c>
    </row>
    <row r="8" spans="2:11" x14ac:dyDescent="0.2">
      <c r="B8" t="s">
        <v>14</v>
      </c>
      <c r="D8" t="s">
        <v>22</v>
      </c>
      <c r="F8" t="s">
        <v>844</v>
      </c>
    </row>
    <row r="9" spans="2:11" x14ac:dyDescent="0.2">
      <c r="B9" t="s">
        <v>15</v>
      </c>
      <c r="D9" t="s">
        <v>1056</v>
      </c>
      <c r="F9" t="s">
        <v>964</v>
      </c>
    </row>
    <row r="10" spans="2:11" x14ac:dyDescent="0.2">
      <c r="B10" t="s">
        <v>16</v>
      </c>
      <c r="D10" t="s">
        <v>963</v>
      </c>
      <c r="F10" t="s">
        <v>845</v>
      </c>
    </row>
    <row r="11" spans="2:11" x14ac:dyDescent="0.2">
      <c r="B11" t="s">
        <v>5</v>
      </c>
    </row>
    <row r="12" spans="2:11" x14ac:dyDescent="0.2">
      <c r="B12" t="s">
        <v>2</v>
      </c>
    </row>
    <row r="13" spans="2:11" x14ac:dyDescent="0.2">
      <c r="B13" t="s">
        <v>6</v>
      </c>
    </row>
    <row r="14" spans="2:11" x14ac:dyDescent="0.2">
      <c r="B14" t="s">
        <v>3</v>
      </c>
    </row>
    <row r="15" spans="2:11" x14ac:dyDescent="0.2">
      <c r="B15" t="s">
        <v>7</v>
      </c>
    </row>
    <row r="16" spans="2:11" x14ac:dyDescent="0.2">
      <c r="B16" t="s">
        <v>10</v>
      </c>
    </row>
    <row r="17" spans="2:2" x14ac:dyDescent="0.2">
      <c r="B17" t="s">
        <v>11</v>
      </c>
    </row>
    <row r="18" spans="2:2" x14ac:dyDescent="0.2">
      <c r="B18" t="s">
        <v>12</v>
      </c>
    </row>
  </sheetData>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A900-324D-0749-97F4-C5A13A2ACBB0}">
  <sheetPr>
    <tabColor theme="5" tint="0.79998168889431442"/>
  </sheetPr>
  <dimension ref="A1:R314"/>
  <sheetViews>
    <sheetView showGridLines="0" tabSelected="1" zoomScale="120" zoomScaleNormal="120" workbookViewId="0">
      <pane xSplit="1" ySplit="1" topLeftCell="K146" activePane="bottomRight" state="frozen"/>
      <selection activeCell="E79" sqref="E79"/>
      <selection pane="topRight" activeCell="E79" sqref="E79"/>
      <selection pane="bottomLeft" activeCell="E79" sqref="E79"/>
      <selection pane="bottomRight" activeCell="R163" sqref="R163"/>
    </sheetView>
  </sheetViews>
  <sheetFormatPr baseColWidth="10" defaultRowHeight="16" x14ac:dyDescent="0.2"/>
  <cols>
    <col min="1" max="1" width="33.83203125" customWidth="1"/>
    <col min="2" max="2" width="22.33203125" customWidth="1"/>
    <col min="3" max="3" width="7.6640625" customWidth="1"/>
    <col min="4" max="5" width="18.33203125" customWidth="1"/>
    <col min="6" max="6" width="13.33203125" customWidth="1"/>
    <col min="7" max="7" width="16" customWidth="1"/>
    <col min="8" max="8" width="14.1640625" customWidth="1"/>
    <col min="9" max="9" width="32.1640625" customWidth="1"/>
    <col min="10" max="10" width="24.83203125" customWidth="1"/>
    <col min="11" max="11" width="28.6640625" customWidth="1"/>
    <col min="12" max="12" width="47.1640625" customWidth="1"/>
    <col min="13" max="13" width="26.83203125" customWidth="1"/>
    <col min="14" max="14" width="16.33203125" style="7" customWidth="1"/>
    <col min="15" max="15" width="13.6640625" customWidth="1"/>
    <col min="16" max="16" width="20.6640625" customWidth="1"/>
    <col min="17" max="17" width="18" customWidth="1"/>
  </cols>
  <sheetData>
    <row r="1" spans="1:18" s="3" customFormat="1" ht="51" customHeight="1" x14ac:dyDescent="0.2">
      <c r="A1" s="2" t="s">
        <v>0</v>
      </c>
      <c r="B1" s="2" t="s">
        <v>32</v>
      </c>
      <c r="C1" s="2" t="s">
        <v>240</v>
      </c>
      <c r="D1" s="2" t="s">
        <v>33</v>
      </c>
      <c r="E1" s="2" t="s">
        <v>239</v>
      </c>
      <c r="F1" s="24" t="s">
        <v>37</v>
      </c>
      <c r="G1" s="24" t="s">
        <v>38</v>
      </c>
      <c r="H1" s="24" t="s">
        <v>909</v>
      </c>
      <c r="I1" s="2" t="s">
        <v>35</v>
      </c>
      <c r="J1" s="2" t="s">
        <v>36</v>
      </c>
      <c r="K1" s="2" t="s">
        <v>27</v>
      </c>
      <c r="L1" s="2" t="s">
        <v>34</v>
      </c>
      <c r="M1" s="2" t="s">
        <v>17</v>
      </c>
      <c r="N1" s="24" t="s">
        <v>39</v>
      </c>
      <c r="O1" s="2" t="s">
        <v>141</v>
      </c>
      <c r="P1" s="2" t="s">
        <v>40</v>
      </c>
      <c r="Q1" s="2" t="s">
        <v>916</v>
      </c>
      <c r="R1" s="2" t="s">
        <v>958</v>
      </c>
    </row>
    <row r="2" spans="1:18" x14ac:dyDescent="0.2">
      <c r="A2" t="s">
        <v>1</v>
      </c>
      <c r="B2" t="s">
        <v>42</v>
      </c>
      <c r="C2" t="s">
        <v>25</v>
      </c>
      <c r="D2" t="s">
        <v>54</v>
      </c>
      <c r="F2" s="22">
        <v>709</v>
      </c>
      <c r="G2" s="25"/>
      <c r="H2" s="17">
        <f>Global[[#This Row],[Investment - Identified (US$m)]]+Global[[#This Row],[Investment - Estimated (US$m)]]</f>
        <v>709</v>
      </c>
      <c r="J2" t="s">
        <v>69</v>
      </c>
      <c r="K2" t="s">
        <v>965</v>
      </c>
      <c r="L2" s="5" t="s">
        <v>90</v>
      </c>
      <c r="N2" s="7">
        <v>2024</v>
      </c>
      <c r="O2" s="11">
        <v>45352</v>
      </c>
    </row>
    <row r="3" spans="1:18" x14ac:dyDescent="0.2">
      <c r="A3" t="s">
        <v>1</v>
      </c>
      <c r="B3" t="s">
        <v>42</v>
      </c>
      <c r="C3" t="s">
        <v>26</v>
      </c>
      <c r="F3" s="22">
        <v>150</v>
      </c>
      <c r="G3" s="25"/>
      <c r="H3" s="17">
        <f>Global[[#This Row],[Investment - Identified (US$m)]]+Global[[#This Row],[Investment - Estimated (US$m)]]</f>
        <v>150</v>
      </c>
      <c r="J3" t="s">
        <v>70</v>
      </c>
      <c r="K3" t="s">
        <v>844</v>
      </c>
      <c r="L3" s="5" t="s">
        <v>91</v>
      </c>
      <c r="N3" s="7">
        <v>2024</v>
      </c>
      <c r="O3" s="11">
        <v>45444</v>
      </c>
    </row>
    <row r="4" spans="1:18" x14ac:dyDescent="0.2">
      <c r="A4" t="s">
        <v>1</v>
      </c>
      <c r="B4" t="s">
        <v>42</v>
      </c>
      <c r="C4" t="s">
        <v>25</v>
      </c>
      <c r="D4" t="s">
        <v>56</v>
      </c>
      <c r="F4" s="22">
        <v>950</v>
      </c>
      <c r="G4" s="25"/>
      <c r="H4" s="17">
        <f>Global[[#This Row],[Investment - Identified (US$m)]]+Global[[#This Row],[Investment - Estimated (US$m)]]</f>
        <v>950</v>
      </c>
      <c r="J4" t="s">
        <v>71</v>
      </c>
      <c r="K4" t="s">
        <v>844</v>
      </c>
      <c r="L4" s="5" t="s">
        <v>92</v>
      </c>
      <c r="N4" s="7">
        <v>2025</v>
      </c>
      <c r="O4" s="11">
        <v>45809</v>
      </c>
      <c r="P4" s="6" t="s">
        <v>109</v>
      </c>
    </row>
    <row r="5" spans="1:18" x14ac:dyDescent="0.2">
      <c r="A5" t="s">
        <v>1</v>
      </c>
      <c r="B5" t="s">
        <v>42</v>
      </c>
      <c r="C5" t="s">
        <v>25</v>
      </c>
      <c r="D5" t="s">
        <v>57</v>
      </c>
      <c r="F5" s="22">
        <v>561</v>
      </c>
      <c r="G5" s="25"/>
      <c r="H5" s="17">
        <f>Global[[#This Row],[Investment - Identified (US$m)]]+Global[[#This Row],[Investment - Estimated (US$m)]]</f>
        <v>561</v>
      </c>
      <c r="I5" t="s">
        <v>85</v>
      </c>
      <c r="J5" t="s">
        <v>73</v>
      </c>
      <c r="K5" t="s">
        <v>30</v>
      </c>
      <c r="L5" s="5" t="s">
        <v>93</v>
      </c>
      <c r="O5" s="11">
        <v>45717</v>
      </c>
      <c r="P5" s="6" t="s">
        <v>110</v>
      </c>
    </row>
    <row r="6" spans="1:18" x14ac:dyDescent="0.2">
      <c r="A6" t="s">
        <v>1</v>
      </c>
      <c r="B6" t="s">
        <v>43</v>
      </c>
      <c r="C6" t="s">
        <v>25</v>
      </c>
      <c r="D6" t="s">
        <v>58</v>
      </c>
      <c r="F6" s="22"/>
      <c r="G6" s="25">
        <v>600</v>
      </c>
      <c r="H6" s="17">
        <f>Global[[#This Row],[Investment - Identified (US$m)]]+Global[[#This Row],[Investment - Estimated (US$m)]]</f>
        <v>600</v>
      </c>
      <c r="J6" t="s">
        <v>72</v>
      </c>
      <c r="K6" t="s">
        <v>844</v>
      </c>
      <c r="L6" s="5" t="s">
        <v>94</v>
      </c>
      <c r="N6" s="7">
        <v>2026</v>
      </c>
      <c r="O6" s="11">
        <v>45536</v>
      </c>
    </row>
    <row r="7" spans="1:18" x14ac:dyDescent="0.2">
      <c r="A7" t="s">
        <v>1</v>
      </c>
      <c r="B7" t="s">
        <v>43</v>
      </c>
      <c r="C7" t="s">
        <v>25</v>
      </c>
      <c r="D7" t="s">
        <v>59</v>
      </c>
      <c r="F7" s="22"/>
      <c r="G7" s="25">
        <v>800</v>
      </c>
      <c r="H7" s="17">
        <f>Global[[#This Row],[Investment - Identified (US$m)]]+Global[[#This Row],[Investment - Estimated (US$m)]]</f>
        <v>800</v>
      </c>
      <c r="J7" t="s">
        <v>82</v>
      </c>
      <c r="K7" t="s">
        <v>31</v>
      </c>
      <c r="L7" s="5" t="s">
        <v>1078</v>
      </c>
      <c r="N7" s="7" t="s">
        <v>55</v>
      </c>
      <c r="O7" s="11">
        <v>46023</v>
      </c>
      <c r="P7" s="6" t="s">
        <v>111</v>
      </c>
      <c r="Q7" s="6" t="s">
        <v>1079</v>
      </c>
    </row>
    <row r="8" spans="1:18" x14ac:dyDescent="0.2">
      <c r="A8" t="s">
        <v>1</v>
      </c>
      <c r="B8" t="s">
        <v>44</v>
      </c>
      <c r="C8" t="s">
        <v>26</v>
      </c>
      <c r="F8" s="22">
        <v>1000</v>
      </c>
      <c r="G8" s="25"/>
      <c r="H8" s="17">
        <f>Global[[#This Row],[Investment - Identified (US$m)]]+Global[[#This Row],[Investment - Estimated (US$m)]]</f>
        <v>1000</v>
      </c>
      <c r="I8" t="s">
        <v>83</v>
      </c>
      <c r="J8" t="s">
        <v>81</v>
      </c>
      <c r="K8" t="s">
        <v>31</v>
      </c>
      <c r="L8" s="5" t="s">
        <v>95</v>
      </c>
      <c r="O8" s="11">
        <v>45839</v>
      </c>
      <c r="P8" s="6" t="s">
        <v>112</v>
      </c>
    </row>
    <row r="9" spans="1:18" x14ac:dyDescent="0.2">
      <c r="A9" t="s">
        <v>1</v>
      </c>
      <c r="B9" t="s">
        <v>44</v>
      </c>
      <c r="C9" t="s">
        <v>26</v>
      </c>
      <c r="F9" s="22"/>
      <c r="G9" s="25">
        <v>250</v>
      </c>
      <c r="H9" s="17">
        <f>Global[[#This Row],[Investment - Identified (US$m)]]+Global[[#This Row],[Investment - Estimated (US$m)]]</f>
        <v>250</v>
      </c>
      <c r="J9" t="s">
        <v>73</v>
      </c>
      <c r="K9" t="s">
        <v>30</v>
      </c>
      <c r="L9" s="5" t="s">
        <v>96</v>
      </c>
      <c r="O9" s="11">
        <v>45689</v>
      </c>
      <c r="P9" s="6" t="s">
        <v>113</v>
      </c>
    </row>
    <row r="10" spans="1:18" x14ac:dyDescent="0.2">
      <c r="A10" t="s">
        <v>1</v>
      </c>
      <c r="B10" t="s">
        <v>949</v>
      </c>
      <c r="F10" s="22"/>
      <c r="G10" s="25">
        <v>200</v>
      </c>
      <c r="H10" s="17">
        <f>Global[[#This Row],[Investment - Identified (US$m)]]+Global[[#This Row],[Investment - Estimated (US$m)]]</f>
        <v>200</v>
      </c>
      <c r="J10" t="s">
        <v>73</v>
      </c>
      <c r="K10" t="s">
        <v>30</v>
      </c>
      <c r="L10" s="5" t="s">
        <v>950</v>
      </c>
      <c r="N10" s="7">
        <v>2026</v>
      </c>
      <c r="O10" s="11">
        <v>45566</v>
      </c>
      <c r="P10" s="6" t="s">
        <v>951</v>
      </c>
    </row>
    <row r="11" spans="1:18" x14ac:dyDescent="0.2">
      <c r="A11" t="s">
        <v>1</v>
      </c>
      <c r="B11" t="s">
        <v>45</v>
      </c>
      <c r="C11" t="s">
        <v>25</v>
      </c>
      <c r="D11" t="s">
        <v>60</v>
      </c>
      <c r="F11" s="22">
        <v>1300</v>
      </c>
      <c r="G11" s="25"/>
      <c r="H11" s="17">
        <f>Global[[#This Row],[Investment - Identified (US$m)]]+Global[[#This Row],[Investment - Estimated (US$m)]]</f>
        <v>1300</v>
      </c>
      <c r="I11" t="s">
        <v>84</v>
      </c>
      <c r="J11" t="s">
        <v>81</v>
      </c>
      <c r="K11" t="s">
        <v>31</v>
      </c>
      <c r="L11" t="s">
        <v>97</v>
      </c>
      <c r="N11" s="7">
        <v>2025</v>
      </c>
      <c r="O11" s="11">
        <v>45748</v>
      </c>
      <c r="P11" s="6" t="s">
        <v>114</v>
      </c>
    </row>
    <row r="12" spans="1:18" x14ac:dyDescent="0.2">
      <c r="A12" t="s">
        <v>1</v>
      </c>
      <c r="B12" t="s">
        <v>46</v>
      </c>
      <c r="C12" t="s">
        <v>25</v>
      </c>
      <c r="D12" t="s">
        <v>61</v>
      </c>
      <c r="F12" s="22">
        <v>450</v>
      </c>
      <c r="G12" s="25"/>
      <c r="H12" s="17">
        <f>Global[[#This Row],[Investment - Identified (US$m)]]+Global[[#This Row],[Investment - Estimated (US$m)]]</f>
        <v>450</v>
      </c>
      <c r="J12" t="s">
        <v>74</v>
      </c>
      <c r="K12" t="s">
        <v>30</v>
      </c>
      <c r="L12" s="5" t="s">
        <v>98</v>
      </c>
      <c r="N12" s="7">
        <v>2024</v>
      </c>
      <c r="O12" s="11">
        <v>45505</v>
      </c>
    </row>
    <row r="13" spans="1:18" x14ac:dyDescent="0.2">
      <c r="A13" t="s">
        <v>1</v>
      </c>
      <c r="B13" t="s">
        <v>47</v>
      </c>
      <c r="C13" t="s">
        <v>25</v>
      </c>
      <c r="D13" t="s">
        <v>62</v>
      </c>
      <c r="F13" s="22"/>
      <c r="G13" s="25">
        <v>240</v>
      </c>
      <c r="H13" s="17">
        <f>Global[[#This Row],[Investment - Identified (US$m)]]+Global[[#This Row],[Investment - Estimated (US$m)]]</f>
        <v>240</v>
      </c>
      <c r="J13" t="s">
        <v>75</v>
      </c>
      <c r="K13" t="s">
        <v>29</v>
      </c>
      <c r="L13" s="5" t="s">
        <v>99</v>
      </c>
      <c r="O13" s="11">
        <v>45505</v>
      </c>
    </row>
    <row r="14" spans="1:18" x14ac:dyDescent="0.2">
      <c r="A14" t="s">
        <v>1</v>
      </c>
      <c r="B14" t="s">
        <v>47</v>
      </c>
      <c r="C14" t="s">
        <v>26</v>
      </c>
      <c r="F14" s="22"/>
      <c r="G14" s="25">
        <v>200</v>
      </c>
      <c r="H14" s="17">
        <f>Global[[#This Row],[Investment - Identified (US$m)]]+Global[[#This Row],[Investment - Estimated (US$m)]]</f>
        <v>200</v>
      </c>
      <c r="I14" t="s">
        <v>86</v>
      </c>
      <c r="J14" t="s">
        <v>73</v>
      </c>
      <c r="K14" t="s">
        <v>30</v>
      </c>
      <c r="L14" s="5" t="s">
        <v>100</v>
      </c>
      <c r="N14" s="7">
        <v>2025</v>
      </c>
      <c r="O14" s="11">
        <v>45748</v>
      </c>
      <c r="P14" s="6" t="s">
        <v>115</v>
      </c>
    </row>
    <row r="15" spans="1:18" x14ac:dyDescent="0.2">
      <c r="A15" t="s">
        <v>1</v>
      </c>
      <c r="B15" t="s">
        <v>48</v>
      </c>
      <c r="C15" t="s">
        <v>26</v>
      </c>
      <c r="F15" s="22"/>
      <c r="G15" s="25">
        <v>885</v>
      </c>
      <c r="H15" s="17">
        <f>Global[[#This Row],[Investment - Identified (US$m)]]+Global[[#This Row],[Investment - Estimated (US$m)]]</f>
        <v>885</v>
      </c>
      <c r="J15" t="s">
        <v>75</v>
      </c>
      <c r="K15" t="s">
        <v>29</v>
      </c>
      <c r="L15" s="5" t="s">
        <v>101</v>
      </c>
      <c r="M15" t="s">
        <v>21</v>
      </c>
      <c r="N15" s="7">
        <v>2025</v>
      </c>
      <c r="O15" s="11">
        <v>45931</v>
      </c>
      <c r="P15" s="6" t="s">
        <v>116</v>
      </c>
      <c r="Q15" s="6" t="s">
        <v>1288</v>
      </c>
    </row>
    <row r="16" spans="1:18" x14ac:dyDescent="0.2">
      <c r="A16" t="s">
        <v>1</v>
      </c>
      <c r="B16" t="s">
        <v>162</v>
      </c>
      <c r="C16" t="s">
        <v>26</v>
      </c>
      <c r="F16" s="22">
        <v>256</v>
      </c>
      <c r="G16" s="25"/>
      <c r="H16" s="17">
        <f>Global[[#This Row],[Investment - Identified (US$m)]]+Global[[#This Row],[Investment - Estimated (US$m)]]</f>
        <v>256</v>
      </c>
      <c r="I16" t="s">
        <v>1282</v>
      </c>
      <c r="J16" t="s">
        <v>245</v>
      </c>
      <c r="K16" t="s">
        <v>29</v>
      </c>
      <c r="L16" s="5" t="s">
        <v>1283</v>
      </c>
      <c r="N16" s="7">
        <v>2026</v>
      </c>
      <c r="O16" s="11">
        <v>46023</v>
      </c>
      <c r="P16" s="6" t="s">
        <v>1284</v>
      </c>
    </row>
    <row r="17" spans="1:18" x14ac:dyDescent="0.2">
      <c r="A17" t="s">
        <v>1</v>
      </c>
      <c r="B17" t="s">
        <v>162</v>
      </c>
      <c r="C17" t="s">
        <v>26</v>
      </c>
      <c r="F17" s="22">
        <v>100</v>
      </c>
      <c r="G17" s="25"/>
      <c r="H17" s="17">
        <f>Global[[#This Row],[Investment - Identified (US$m)]]+Global[[#This Row],[Investment - Estimated (US$m)]]</f>
        <v>100</v>
      </c>
      <c r="J17" t="s">
        <v>245</v>
      </c>
      <c r="K17" t="s">
        <v>29</v>
      </c>
      <c r="L17" s="5" t="s">
        <v>1285</v>
      </c>
      <c r="N17" s="7">
        <v>2024</v>
      </c>
      <c r="O17" s="11"/>
      <c r="P17" s="6" t="s">
        <v>1286</v>
      </c>
      <c r="Q17" s="6" t="s">
        <v>1287</v>
      </c>
    </row>
    <row r="18" spans="1:18" x14ac:dyDescent="0.2">
      <c r="A18" t="s">
        <v>1</v>
      </c>
      <c r="B18" t="s">
        <v>49</v>
      </c>
      <c r="C18" t="s">
        <v>26</v>
      </c>
      <c r="F18" s="22"/>
      <c r="G18" s="25">
        <v>206</v>
      </c>
      <c r="H18" s="17">
        <f>Global[[#This Row],[Investment - Identified (US$m)]]+Global[[#This Row],[Investment - Estimated (US$m)]]</f>
        <v>206</v>
      </c>
      <c r="J18" t="s">
        <v>76</v>
      </c>
      <c r="K18" t="s">
        <v>845</v>
      </c>
      <c r="L18" s="5" t="s">
        <v>102</v>
      </c>
      <c r="O18" s="11">
        <v>45505</v>
      </c>
    </row>
    <row r="19" spans="1:18" x14ac:dyDescent="0.2">
      <c r="A19" t="s">
        <v>1</v>
      </c>
      <c r="B19" t="s">
        <v>50</v>
      </c>
      <c r="C19" t="s">
        <v>25</v>
      </c>
      <c r="D19" t="s">
        <v>63</v>
      </c>
      <c r="F19" s="22"/>
      <c r="G19" s="25">
        <v>1000</v>
      </c>
      <c r="H19" s="17">
        <f>Global[[#This Row],[Investment - Identified (US$m)]]+Global[[#This Row],[Investment - Estimated (US$m)]]</f>
        <v>1000</v>
      </c>
      <c r="J19" t="s">
        <v>69</v>
      </c>
      <c r="K19" t="s">
        <v>965</v>
      </c>
      <c r="L19" s="5" t="s">
        <v>103</v>
      </c>
      <c r="N19" s="7">
        <v>2025</v>
      </c>
      <c r="O19" s="11">
        <v>45839</v>
      </c>
      <c r="P19" s="6" t="s">
        <v>117</v>
      </c>
    </row>
    <row r="20" spans="1:18" x14ac:dyDescent="0.2">
      <c r="A20" t="s">
        <v>1</v>
      </c>
      <c r="B20" t="s">
        <v>49</v>
      </c>
      <c r="C20" t="s">
        <v>25</v>
      </c>
      <c r="D20" t="s">
        <v>64</v>
      </c>
      <c r="F20" s="22"/>
      <c r="G20" s="25">
        <f>365*1.5</f>
        <v>547.5</v>
      </c>
      <c r="H20" s="17">
        <f>Global[[#This Row],[Investment - Identified (US$m)]]+Global[[#This Row],[Investment - Estimated (US$m)]]</f>
        <v>547.5</v>
      </c>
      <c r="J20" t="s">
        <v>77</v>
      </c>
      <c r="K20" t="s">
        <v>844</v>
      </c>
      <c r="L20" s="5" t="s">
        <v>104</v>
      </c>
      <c r="O20" s="11">
        <v>45444</v>
      </c>
    </row>
    <row r="21" spans="1:18" x14ac:dyDescent="0.2">
      <c r="A21" t="s">
        <v>1</v>
      </c>
      <c r="B21" t="s">
        <v>163</v>
      </c>
      <c r="C21" t="s">
        <v>26</v>
      </c>
      <c r="F21" s="22">
        <v>147</v>
      </c>
      <c r="G21" s="25"/>
      <c r="H21" s="17">
        <f>Global[[#This Row],[Investment - Identified (US$m)]]+Global[[#This Row],[Investment - Estimated (US$m)]]</f>
        <v>147</v>
      </c>
      <c r="I21" t="s">
        <v>969</v>
      </c>
      <c r="J21" t="s">
        <v>75</v>
      </c>
      <c r="K21" t="s">
        <v>29</v>
      </c>
      <c r="L21" s="5" t="s">
        <v>970</v>
      </c>
      <c r="M21" t="s">
        <v>20</v>
      </c>
      <c r="N21" s="7">
        <v>2026</v>
      </c>
      <c r="O21" s="11">
        <v>45444</v>
      </c>
      <c r="P21" s="6" t="s">
        <v>971</v>
      </c>
    </row>
    <row r="22" spans="1:18" x14ac:dyDescent="0.2">
      <c r="A22" t="s">
        <v>2</v>
      </c>
      <c r="B22" t="s">
        <v>49</v>
      </c>
      <c r="C22" t="s">
        <v>25</v>
      </c>
      <c r="D22" t="s">
        <v>65</v>
      </c>
      <c r="F22" s="22">
        <f>(1400*2.4+340)*AUDUSD</f>
        <v>2479</v>
      </c>
      <c r="G22" s="25"/>
      <c r="H22" s="17">
        <f>Global[[#This Row],[Investment - Identified (US$m)]]+Global[[#This Row],[Investment - Estimated (US$m)]]</f>
        <v>2479</v>
      </c>
      <c r="I22" t="s">
        <v>87</v>
      </c>
      <c r="J22" t="s">
        <v>79</v>
      </c>
      <c r="K22" t="s">
        <v>964</v>
      </c>
      <c r="L22" t="s">
        <v>105</v>
      </c>
      <c r="N22" s="7">
        <v>2028</v>
      </c>
      <c r="O22" s="12">
        <v>45505</v>
      </c>
    </row>
    <row r="23" spans="1:18" x14ac:dyDescent="0.2">
      <c r="A23" t="s">
        <v>1</v>
      </c>
      <c r="B23" t="s">
        <v>51</v>
      </c>
      <c r="C23" t="s">
        <v>25</v>
      </c>
      <c r="D23" t="s">
        <v>66</v>
      </c>
      <c r="F23" s="26">
        <f>3500*GBPUSD</f>
        <v>4585</v>
      </c>
      <c r="G23" s="25"/>
      <c r="H23" s="17">
        <f>Global[[#This Row],[Investment - Identified (US$m)]]+Global[[#This Row],[Investment - Estimated (US$m)]]</f>
        <v>4585</v>
      </c>
      <c r="J23" t="s">
        <v>78</v>
      </c>
      <c r="K23" t="s">
        <v>30</v>
      </c>
      <c r="L23" s="5" t="s">
        <v>106</v>
      </c>
      <c r="N23" s="7">
        <v>2027</v>
      </c>
      <c r="O23" s="11">
        <v>45809</v>
      </c>
      <c r="P23" s="6" t="s">
        <v>118</v>
      </c>
    </row>
    <row r="24" spans="1:18" x14ac:dyDescent="0.2">
      <c r="A24" t="s">
        <v>1</v>
      </c>
      <c r="B24" t="s">
        <v>52</v>
      </c>
      <c r="C24" s="4" t="s">
        <v>25</v>
      </c>
      <c r="D24" t="s">
        <v>67</v>
      </c>
      <c r="F24" s="22"/>
      <c r="G24" s="27">
        <f>232*2</f>
        <v>464</v>
      </c>
      <c r="H24" s="19">
        <f>Global[[#This Row],[Investment - Identified (US$m)]]+Global[[#This Row],[Investment - Estimated (US$m)]]</f>
        <v>464</v>
      </c>
      <c r="I24" t="s">
        <v>88</v>
      </c>
      <c r="J24" t="s">
        <v>80</v>
      </c>
      <c r="K24" t="s">
        <v>30</v>
      </c>
      <c r="L24" s="5" t="s">
        <v>107</v>
      </c>
      <c r="N24" s="7">
        <v>2027</v>
      </c>
      <c r="O24" s="11">
        <v>45870</v>
      </c>
      <c r="P24" s="6" t="s">
        <v>119</v>
      </c>
    </row>
    <row r="25" spans="1:18" x14ac:dyDescent="0.2">
      <c r="A25" t="s">
        <v>1</v>
      </c>
      <c r="B25" t="s">
        <v>53</v>
      </c>
      <c r="C25" s="4" t="s">
        <v>25</v>
      </c>
      <c r="D25" t="s">
        <v>68</v>
      </c>
      <c r="F25" s="22"/>
      <c r="G25" s="28">
        <f>1000*0.65</f>
        <v>650</v>
      </c>
      <c r="H25" s="18">
        <f>Global[[#This Row],[Investment - Identified (US$m)]]+Global[[#This Row],[Investment - Estimated (US$m)]]</f>
        <v>650</v>
      </c>
      <c r="I25" t="s">
        <v>89</v>
      </c>
      <c r="J25" t="s">
        <v>79</v>
      </c>
      <c r="K25" t="s">
        <v>964</v>
      </c>
      <c r="L25" s="5" t="s">
        <v>108</v>
      </c>
      <c r="O25" s="11">
        <v>44958</v>
      </c>
    </row>
    <row r="26" spans="1:18" x14ac:dyDescent="0.2">
      <c r="A26" t="s">
        <v>1</v>
      </c>
      <c r="B26" t="s">
        <v>931</v>
      </c>
      <c r="C26" s="4" t="s">
        <v>26</v>
      </c>
      <c r="D26" t="s">
        <v>932</v>
      </c>
      <c r="F26" s="22"/>
      <c r="G26" s="28">
        <v>1000</v>
      </c>
      <c r="H26" s="18">
        <f>Global[[#This Row],[Investment - Identified (US$m)]]+Global[[#This Row],[Investment - Estimated (US$m)]]</f>
        <v>1000</v>
      </c>
      <c r="I26" t="s">
        <v>933</v>
      </c>
      <c r="J26" t="s">
        <v>73</v>
      </c>
      <c r="K26" t="s">
        <v>30</v>
      </c>
      <c r="L26" s="5" t="s">
        <v>934</v>
      </c>
      <c r="M26" t="s">
        <v>20</v>
      </c>
      <c r="N26" s="7">
        <v>2025</v>
      </c>
      <c r="O26" s="11">
        <v>45597</v>
      </c>
      <c r="P26" s="6" t="s">
        <v>935</v>
      </c>
    </row>
    <row r="27" spans="1:18" x14ac:dyDescent="0.2">
      <c r="A27" t="s">
        <v>3</v>
      </c>
      <c r="B27" t="s">
        <v>47</v>
      </c>
      <c r="C27" t="s">
        <v>25</v>
      </c>
      <c r="D27" s="8" t="s">
        <v>128</v>
      </c>
      <c r="F27" s="26">
        <f>500*EURUSD</f>
        <v>555</v>
      </c>
      <c r="G27" s="25"/>
      <c r="H27" s="17">
        <f>Global[[#This Row],[Investment - Identified (US$m)]]+Global[[#This Row],[Investment - Estimated (US$m)]]</f>
        <v>555</v>
      </c>
      <c r="J27" s="10" t="s">
        <v>135</v>
      </c>
      <c r="K27" t="s">
        <v>30</v>
      </c>
      <c r="L27" s="5" t="s">
        <v>153</v>
      </c>
      <c r="O27" s="11">
        <v>45505</v>
      </c>
      <c r="P27" s="6" t="s">
        <v>142</v>
      </c>
    </row>
    <row r="28" spans="1:18" x14ac:dyDescent="0.2">
      <c r="A28" t="s">
        <v>3</v>
      </c>
      <c r="B28" t="s">
        <v>47</v>
      </c>
      <c r="C28" t="s">
        <v>25</v>
      </c>
      <c r="D28" s="8" t="s">
        <v>129</v>
      </c>
      <c r="F28" s="22">
        <f>150000/1437</f>
        <v>104.38413361169103</v>
      </c>
      <c r="G28" s="25"/>
      <c r="H28" s="17">
        <f>Global[[#This Row],[Investment - Identified (US$m)]]+Global[[#This Row],[Investment - Estimated (US$m)]]</f>
        <v>104.38413361169103</v>
      </c>
      <c r="J28" s="10" t="s">
        <v>77</v>
      </c>
      <c r="K28" t="s">
        <v>844</v>
      </c>
      <c r="L28" s="5" t="s">
        <v>153</v>
      </c>
      <c r="N28" s="7">
        <v>2026</v>
      </c>
      <c r="O28" s="11">
        <v>45627</v>
      </c>
      <c r="P28" s="6" t="s">
        <v>143</v>
      </c>
    </row>
    <row r="29" spans="1:18" x14ac:dyDescent="0.2">
      <c r="A29" t="s">
        <v>3</v>
      </c>
      <c r="B29" t="s">
        <v>47</v>
      </c>
      <c r="C29" t="s">
        <v>26</v>
      </c>
      <c r="D29" s="8"/>
      <c r="F29" s="22">
        <v>0</v>
      </c>
      <c r="G29" s="25"/>
      <c r="H29" s="17">
        <f>Global[[#This Row],[Investment - Identified (US$m)]]+Global[[#This Row],[Investment - Estimated (US$m)]]</f>
        <v>0</v>
      </c>
      <c r="J29" s="10" t="s">
        <v>78</v>
      </c>
      <c r="K29" t="s">
        <v>30</v>
      </c>
      <c r="L29" s="5" t="s">
        <v>1309</v>
      </c>
      <c r="M29" t="s">
        <v>22</v>
      </c>
      <c r="O29" s="11">
        <v>46113</v>
      </c>
      <c r="P29" s="6" t="s">
        <v>144</v>
      </c>
      <c r="Q29" s="6" t="s">
        <v>915</v>
      </c>
      <c r="R29" s="6" t="s">
        <v>1308</v>
      </c>
    </row>
    <row r="30" spans="1:18" x14ac:dyDescent="0.2">
      <c r="A30" t="s">
        <v>3</v>
      </c>
      <c r="B30" t="s">
        <v>49</v>
      </c>
      <c r="C30" t="s">
        <v>26</v>
      </c>
      <c r="D30" s="8"/>
      <c r="F30" s="22">
        <v>18</v>
      </c>
      <c r="G30" s="25"/>
      <c r="H30" s="17">
        <f>Global[[#This Row],[Investment - Identified (US$m)]]+Global[[#This Row],[Investment - Estimated (US$m)]]</f>
        <v>18</v>
      </c>
      <c r="I30" t="s">
        <v>138</v>
      </c>
      <c r="J30" s="10" t="s">
        <v>75</v>
      </c>
      <c r="K30" t="s">
        <v>29</v>
      </c>
      <c r="L30" s="5" t="s">
        <v>154</v>
      </c>
      <c r="N30" s="7">
        <v>2024</v>
      </c>
      <c r="O30" s="11">
        <v>45505</v>
      </c>
      <c r="P30" s="6" t="s">
        <v>145</v>
      </c>
    </row>
    <row r="31" spans="1:18" x14ac:dyDescent="0.2">
      <c r="A31" t="s">
        <v>3</v>
      </c>
      <c r="B31" t="s">
        <v>52</v>
      </c>
      <c r="C31" t="s">
        <v>25</v>
      </c>
      <c r="D31" s="8" t="s">
        <v>130</v>
      </c>
      <c r="F31" s="22"/>
      <c r="G31" s="25">
        <v>800</v>
      </c>
      <c r="H31" s="17">
        <f>Global[[#This Row],[Investment - Identified (US$m)]]+Global[[#This Row],[Investment - Estimated (US$m)]]</f>
        <v>800</v>
      </c>
      <c r="J31" s="10" t="s">
        <v>136</v>
      </c>
      <c r="K31" t="s">
        <v>845</v>
      </c>
      <c r="L31" s="5" t="s">
        <v>155</v>
      </c>
      <c r="O31" s="11">
        <v>45474</v>
      </c>
      <c r="P31" s="6" t="s">
        <v>146</v>
      </c>
    </row>
    <row r="32" spans="1:18" x14ac:dyDescent="0.2">
      <c r="A32" t="s">
        <v>3</v>
      </c>
      <c r="B32" t="s">
        <v>52</v>
      </c>
      <c r="C32" t="s">
        <v>25</v>
      </c>
      <c r="D32" s="8" t="s">
        <v>131</v>
      </c>
      <c r="F32" s="22">
        <v>40</v>
      </c>
      <c r="G32" s="25"/>
      <c r="H32" s="17">
        <f>Global[[#This Row],[Investment - Identified (US$m)]]+Global[[#This Row],[Investment - Estimated (US$m)]]</f>
        <v>40</v>
      </c>
      <c r="J32" s="10" t="s">
        <v>82</v>
      </c>
      <c r="K32" t="s">
        <v>31</v>
      </c>
      <c r="L32" s="5" t="s">
        <v>156</v>
      </c>
      <c r="N32" s="7">
        <v>2026</v>
      </c>
      <c r="O32" s="11">
        <v>45627</v>
      </c>
      <c r="P32" s="6" t="s">
        <v>147</v>
      </c>
    </row>
    <row r="33" spans="1:17" x14ac:dyDescent="0.2">
      <c r="A33" t="s">
        <v>3</v>
      </c>
      <c r="B33" t="s">
        <v>52</v>
      </c>
      <c r="C33" s="9" t="s">
        <v>25</v>
      </c>
      <c r="D33" s="8" t="s">
        <v>132</v>
      </c>
      <c r="F33" s="22"/>
      <c r="G33" s="25"/>
      <c r="H33" s="17">
        <f>Global[[#This Row],[Investment - Identified (US$m)]]+Global[[#This Row],[Investment - Estimated (US$m)]]</f>
        <v>0</v>
      </c>
      <c r="J33" s="10" t="s">
        <v>81</v>
      </c>
      <c r="K33" t="s">
        <v>31</v>
      </c>
      <c r="L33" s="5" t="s">
        <v>157</v>
      </c>
      <c r="M33" t="s">
        <v>18</v>
      </c>
      <c r="O33" s="11">
        <v>45962</v>
      </c>
      <c r="P33" s="6" t="s">
        <v>148</v>
      </c>
      <c r="Q33" s="6" t="s">
        <v>917</v>
      </c>
    </row>
    <row r="34" spans="1:17" x14ac:dyDescent="0.2">
      <c r="A34" t="s">
        <v>3</v>
      </c>
      <c r="B34" t="s">
        <v>52</v>
      </c>
      <c r="C34" s="9" t="s">
        <v>25</v>
      </c>
      <c r="D34" s="8" t="s">
        <v>133</v>
      </c>
      <c r="F34" s="22"/>
      <c r="G34" s="25">
        <v>60</v>
      </c>
      <c r="H34" s="17">
        <f>Global[[#This Row],[Investment - Identified (US$m)]]+Global[[#This Row],[Investment - Estimated (US$m)]]</f>
        <v>60</v>
      </c>
      <c r="I34" t="s">
        <v>919</v>
      </c>
      <c r="J34" s="10" t="s">
        <v>137</v>
      </c>
      <c r="K34" t="s">
        <v>844</v>
      </c>
      <c r="L34" s="5" t="s">
        <v>920</v>
      </c>
      <c r="M34" t="s">
        <v>20</v>
      </c>
      <c r="N34" s="7">
        <v>2027</v>
      </c>
      <c r="O34" s="11">
        <v>45901</v>
      </c>
      <c r="P34" s="6" t="s">
        <v>149</v>
      </c>
      <c r="Q34" s="6" t="s">
        <v>918</v>
      </c>
    </row>
    <row r="35" spans="1:17" x14ac:dyDescent="0.2">
      <c r="A35" t="s">
        <v>3</v>
      </c>
      <c r="B35" t="s">
        <v>52</v>
      </c>
      <c r="C35" s="9"/>
      <c r="D35" s="8"/>
      <c r="F35" s="22"/>
      <c r="G35" s="25"/>
      <c r="H35" s="17">
        <f>Global[[#This Row],[Investment - Identified (US$m)]]+Global[[#This Row],[Investment - Estimated (US$m)]]</f>
        <v>0</v>
      </c>
      <c r="I35" t="s">
        <v>921</v>
      </c>
      <c r="J35" s="10" t="s">
        <v>137</v>
      </c>
      <c r="K35" t="s">
        <v>844</v>
      </c>
      <c r="L35" s="5" t="s">
        <v>922</v>
      </c>
      <c r="M35" t="s">
        <v>21</v>
      </c>
      <c r="N35" s="7">
        <v>2023</v>
      </c>
      <c r="O35" s="11"/>
      <c r="P35" s="6" t="s">
        <v>923</v>
      </c>
      <c r="Q35" s="6"/>
    </row>
    <row r="36" spans="1:17" x14ac:dyDescent="0.2">
      <c r="A36" t="s">
        <v>3</v>
      </c>
      <c r="B36" t="s">
        <v>126</v>
      </c>
      <c r="C36" s="9" t="s">
        <v>25</v>
      </c>
      <c r="D36" s="8" t="s">
        <v>134</v>
      </c>
      <c r="F36" s="22">
        <v>200</v>
      </c>
      <c r="G36" s="25"/>
      <c r="H36" s="17">
        <f>Global[[#This Row],[Investment - Identified (US$m)]]+Global[[#This Row],[Investment - Estimated (US$m)]]</f>
        <v>200</v>
      </c>
      <c r="I36" t="s">
        <v>140</v>
      </c>
      <c r="J36" s="10" t="s">
        <v>139</v>
      </c>
      <c r="K36" t="s">
        <v>845</v>
      </c>
      <c r="L36" s="5" t="s">
        <v>158</v>
      </c>
      <c r="O36" s="11">
        <v>45748</v>
      </c>
      <c r="P36" s="6" t="s">
        <v>150</v>
      </c>
    </row>
    <row r="37" spans="1:17" x14ac:dyDescent="0.2">
      <c r="A37" t="s">
        <v>3</v>
      </c>
      <c r="B37" t="s">
        <v>127</v>
      </c>
      <c r="C37" t="s">
        <v>26</v>
      </c>
      <c r="D37" s="8"/>
      <c r="F37" s="22">
        <v>50</v>
      </c>
      <c r="G37" s="25"/>
      <c r="H37" s="17">
        <f>Global[[#This Row],[Investment - Identified (US$m)]]+Global[[#This Row],[Investment - Estimated (US$m)]]</f>
        <v>50</v>
      </c>
      <c r="J37" s="10" t="s">
        <v>81</v>
      </c>
      <c r="K37" t="s">
        <v>31</v>
      </c>
      <c r="L37" s="5"/>
      <c r="N37" s="7">
        <v>2025</v>
      </c>
      <c r="O37" s="11">
        <v>45597</v>
      </c>
      <c r="P37" s="6" t="s">
        <v>151</v>
      </c>
    </row>
    <row r="38" spans="1:17" x14ac:dyDescent="0.2">
      <c r="A38" t="s">
        <v>3</v>
      </c>
      <c r="B38" t="s">
        <v>44</v>
      </c>
      <c r="C38" t="s">
        <v>26</v>
      </c>
      <c r="D38" s="8"/>
      <c r="F38" s="22">
        <v>114</v>
      </c>
      <c r="G38" s="25"/>
      <c r="H38" s="17">
        <f>Global[[#This Row],[Investment - Identified (US$m)]]+Global[[#This Row],[Investment - Estimated (US$m)]]</f>
        <v>114</v>
      </c>
      <c r="J38" s="10" t="s">
        <v>82</v>
      </c>
      <c r="K38" t="s">
        <v>31</v>
      </c>
      <c r="L38" s="5" t="s">
        <v>159</v>
      </c>
      <c r="N38" s="7">
        <v>2025</v>
      </c>
      <c r="O38" s="11">
        <v>45597</v>
      </c>
      <c r="P38" s="6" t="s">
        <v>152</v>
      </c>
    </row>
    <row r="39" spans="1:17" x14ac:dyDescent="0.2">
      <c r="A39" t="s">
        <v>4</v>
      </c>
      <c r="B39" t="s">
        <v>42</v>
      </c>
      <c r="D39" t="s">
        <v>55</v>
      </c>
      <c r="F39" s="29"/>
      <c r="G39" s="25">
        <v>400</v>
      </c>
      <c r="H39" s="17">
        <f>Global[[#This Row],[Investment - Identified (US$m)]]+Global[[#This Row],[Investment - Estimated (US$m)]]</f>
        <v>400</v>
      </c>
      <c r="J39" t="s">
        <v>241</v>
      </c>
      <c r="K39" t="s">
        <v>965</v>
      </c>
      <c r="L39" t="s">
        <v>261</v>
      </c>
      <c r="N39" s="7">
        <v>2025</v>
      </c>
      <c r="O39" s="11">
        <v>45352</v>
      </c>
      <c r="P39" t="s">
        <v>352</v>
      </c>
    </row>
    <row r="40" spans="1:17" x14ac:dyDescent="0.2">
      <c r="A40" t="s">
        <v>4</v>
      </c>
      <c r="B40" t="s">
        <v>160</v>
      </c>
      <c r="D40" t="s">
        <v>204</v>
      </c>
      <c r="F40" s="29"/>
      <c r="G40" s="25">
        <v>780</v>
      </c>
      <c r="H40" s="17">
        <f>Global[[#This Row],[Investment - Identified (US$m)]]+Global[[#This Row],[Investment - Estimated (US$m)]]</f>
        <v>780</v>
      </c>
      <c r="J40" t="s">
        <v>241</v>
      </c>
      <c r="K40" t="s">
        <v>965</v>
      </c>
      <c r="L40" t="s">
        <v>262</v>
      </c>
      <c r="N40" s="7" t="s">
        <v>55</v>
      </c>
      <c r="O40" s="11">
        <v>45231</v>
      </c>
      <c r="P40" t="s">
        <v>352</v>
      </c>
    </row>
    <row r="41" spans="1:17" x14ac:dyDescent="0.2">
      <c r="A41" t="s">
        <v>4</v>
      </c>
      <c r="B41" t="s">
        <v>42</v>
      </c>
      <c r="D41" t="s">
        <v>55</v>
      </c>
      <c r="F41" s="29">
        <v>755</v>
      </c>
      <c r="G41" s="25"/>
      <c r="H41" s="17">
        <f>Global[[#This Row],[Investment - Identified (US$m)]]+Global[[#This Row],[Investment - Estimated (US$m)]]</f>
        <v>755</v>
      </c>
      <c r="J41" t="s">
        <v>242</v>
      </c>
      <c r="K41" t="s">
        <v>845</v>
      </c>
      <c r="L41" t="s">
        <v>263</v>
      </c>
      <c r="N41" s="7">
        <v>2026</v>
      </c>
      <c r="O41" s="11">
        <v>45352</v>
      </c>
    </row>
    <row r="42" spans="1:17" x14ac:dyDescent="0.2">
      <c r="A42" t="s">
        <v>4</v>
      </c>
      <c r="B42" t="s">
        <v>42</v>
      </c>
      <c r="D42" t="s">
        <v>205</v>
      </c>
      <c r="F42" s="29"/>
      <c r="G42" s="25">
        <v>600</v>
      </c>
      <c r="H42" s="17">
        <f>Global[[#This Row],[Investment - Identified (US$m)]]+Global[[#This Row],[Investment - Estimated (US$m)]]</f>
        <v>600</v>
      </c>
      <c r="J42" t="s">
        <v>72</v>
      </c>
      <c r="K42" t="s">
        <v>844</v>
      </c>
      <c r="L42" t="s">
        <v>264</v>
      </c>
      <c r="N42" s="7">
        <v>2025</v>
      </c>
      <c r="O42" s="11">
        <v>45292</v>
      </c>
    </row>
    <row r="43" spans="1:17" x14ac:dyDescent="0.2">
      <c r="A43" t="s">
        <v>4</v>
      </c>
      <c r="B43" t="s">
        <v>42</v>
      </c>
      <c r="D43" t="s">
        <v>55</v>
      </c>
      <c r="F43" s="29"/>
      <c r="G43" s="25">
        <v>315</v>
      </c>
      <c r="H43" s="17">
        <f>Global[[#This Row],[Investment - Identified (US$m)]]+Global[[#This Row],[Investment - Estimated (US$m)]]</f>
        <v>315</v>
      </c>
      <c r="J43" t="s">
        <v>243</v>
      </c>
      <c r="K43" t="s">
        <v>29</v>
      </c>
      <c r="L43" t="s">
        <v>265</v>
      </c>
      <c r="N43" s="7">
        <v>2024</v>
      </c>
      <c r="O43" s="23">
        <v>45292</v>
      </c>
    </row>
    <row r="44" spans="1:17" x14ac:dyDescent="0.2">
      <c r="A44" t="s">
        <v>4</v>
      </c>
      <c r="B44" t="s">
        <v>42</v>
      </c>
      <c r="D44" t="s">
        <v>55</v>
      </c>
      <c r="F44" s="29"/>
      <c r="G44" s="25">
        <v>200</v>
      </c>
      <c r="H44" s="17">
        <f>Global[[#This Row],[Investment - Identified (US$m)]]+Global[[#This Row],[Investment - Estimated (US$m)]]</f>
        <v>200</v>
      </c>
      <c r="J44" t="s">
        <v>244</v>
      </c>
      <c r="K44" t="s">
        <v>965</v>
      </c>
      <c r="L44" t="s">
        <v>266</v>
      </c>
      <c r="N44" s="7">
        <v>2025</v>
      </c>
      <c r="O44" s="11">
        <v>45474</v>
      </c>
    </row>
    <row r="45" spans="1:17" x14ac:dyDescent="0.2">
      <c r="A45" t="s">
        <v>4</v>
      </c>
      <c r="B45" t="s">
        <v>42</v>
      </c>
      <c r="D45" t="s">
        <v>174</v>
      </c>
      <c r="F45" s="29"/>
      <c r="G45" s="25">
        <v>480</v>
      </c>
      <c r="H45" s="17">
        <f>Global[[#This Row],[Investment - Identified (US$m)]]+Global[[#This Row],[Investment - Estimated (US$m)]]</f>
        <v>480</v>
      </c>
      <c r="I45" t="s">
        <v>782</v>
      </c>
      <c r="J45" t="s">
        <v>260</v>
      </c>
      <c r="K45" t="s">
        <v>29</v>
      </c>
      <c r="L45" t="s">
        <v>267</v>
      </c>
      <c r="N45" s="7">
        <v>2024</v>
      </c>
      <c r="O45" s="12">
        <v>45383</v>
      </c>
    </row>
    <row r="46" spans="1:17" x14ac:dyDescent="0.2">
      <c r="A46" t="s">
        <v>4</v>
      </c>
      <c r="B46" t="s">
        <v>42</v>
      </c>
      <c r="D46" t="s">
        <v>55</v>
      </c>
      <c r="F46" s="29">
        <f>1800*0.19</f>
        <v>342</v>
      </c>
      <c r="G46" s="25"/>
      <c r="H46" s="17">
        <f>Global[[#This Row],[Investment - Identified (US$m)]]+Global[[#This Row],[Investment - Estimated (US$m)]]</f>
        <v>342</v>
      </c>
      <c r="I46" t="s">
        <v>783</v>
      </c>
      <c r="J46" t="s">
        <v>75</v>
      </c>
      <c r="K46" t="s">
        <v>29</v>
      </c>
      <c r="L46" t="s">
        <v>268</v>
      </c>
      <c r="N46" s="7">
        <v>2025</v>
      </c>
      <c r="O46" s="11">
        <v>45901</v>
      </c>
      <c r="P46" s="6" t="s">
        <v>353</v>
      </c>
    </row>
    <row r="47" spans="1:17" x14ac:dyDescent="0.2">
      <c r="A47" t="s">
        <v>4</v>
      </c>
      <c r="B47" t="s">
        <v>161</v>
      </c>
      <c r="D47" t="s">
        <v>206</v>
      </c>
      <c r="F47" s="29">
        <v>1100</v>
      </c>
      <c r="G47" s="25"/>
      <c r="H47" s="17">
        <f>Global[[#This Row],[Investment - Identified (US$m)]]+Global[[#This Row],[Investment - Estimated (US$m)]]</f>
        <v>1100</v>
      </c>
      <c r="I47" t="s">
        <v>784</v>
      </c>
      <c r="J47" t="s">
        <v>136</v>
      </c>
      <c r="K47" t="s">
        <v>845</v>
      </c>
      <c r="L47" t="s">
        <v>269</v>
      </c>
      <c r="N47" s="7">
        <v>2026</v>
      </c>
      <c r="O47" s="11">
        <v>45870</v>
      </c>
      <c r="P47" s="6" t="s">
        <v>354</v>
      </c>
    </row>
    <row r="48" spans="1:17" x14ac:dyDescent="0.2">
      <c r="A48" t="s">
        <v>4</v>
      </c>
      <c r="B48" t="s">
        <v>43</v>
      </c>
      <c r="D48" t="s">
        <v>207</v>
      </c>
      <c r="F48" s="29"/>
      <c r="G48" s="25">
        <v>2600</v>
      </c>
      <c r="H48" s="17">
        <f>Global[[#This Row],[Investment - Identified (US$m)]]+Global[[#This Row],[Investment - Estimated (US$m)]]</f>
        <v>2600</v>
      </c>
      <c r="I48" t="s">
        <v>1021</v>
      </c>
      <c r="J48" t="s">
        <v>136</v>
      </c>
      <c r="K48" t="s">
        <v>845</v>
      </c>
      <c r="L48" t="s">
        <v>270</v>
      </c>
      <c r="N48" s="7">
        <v>2024</v>
      </c>
      <c r="O48" s="11">
        <v>45323</v>
      </c>
    </row>
    <row r="49" spans="1:16" x14ac:dyDescent="0.2">
      <c r="A49" t="s">
        <v>4</v>
      </c>
      <c r="B49" t="s">
        <v>43</v>
      </c>
      <c r="D49" t="s">
        <v>208</v>
      </c>
      <c r="F49" s="29">
        <v>972</v>
      </c>
      <c r="G49" s="25"/>
      <c r="H49" s="17">
        <f>Global[[#This Row],[Investment - Identified (US$m)]]+Global[[#This Row],[Investment - Estimated (US$m)]]</f>
        <v>972</v>
      </c>
      <c r="I49" t="s">
        <v>785</v>
      </c>
      <c r="J49" t="s">
        <v>136</v>
      </c>
      <c r="K49" t="s">
        <v>845</v>
      </c>
      <c r="L49" t="s">
        <v>271</v>
      </c>
      <c r="N49" s="7">
        <v>2026</v>
      </c>
      <c r="O49" s="11">
        <v>45505</v>
      </c>
    </row>
    <row r="50" spans="1:16" x14ac:dyDescent="0.2">
      <c r="A50" t="s">
        <v>4</v>
      </c>
      <c r="B50" t="s">
        <v>43</v>
      </c>
      <c r="D50" t="s">
        <v>209</v>
      </c>
      <c r="F50" s="29"/>
      <c r="G50" s="25">
        <v>1000</v>
      </c>
      <c r="H50" s="17">
        <f>Global[[#This Row],[Investment - Identified (US$m)]]+Global[[#This Row],[Investment - Estimated (US$m)]]</f>
        <v>1000</v>
      </c>
      <c r="I50" t="s">
        <v>787</v>
      </c>
      <c r="J50" t="s">
        <v>786</v>
      </c>
      <c r="K50" t="s">
        <v>845</v>
      </c>
      <c r="L50" t="s">
        <v>272</v>
      </c>
      <c r="N50" s="7">
        <v>2027</v>
      </c>
      <c r="O50" s="11">
        <v>45505</v>
      </c>
    </row>
    <row r="51" spans="1:16" x14ac:dyDescent="0.2">
      <c r="A51" t="s">
        <v>4</v>
      </c>
      <c r="B51" t="s">
        <v>43</v>
      </c>
      <c r="D51" t="s">
        <v>55</v>
      </c>
      <c r="F51" s="29">
        <v>870</v>
      </c>
      <c r="G51" s="25"/>
      <c r="H51" s="17">
        <f>Global[[#This Row],[Investment - Identified (US$m)]]+Global[[#This Row],[Investment - Estimated (US$m)]]</f>
        <v>870</v>
      </c>
      <c r="I51" t="s">
        <v>1011</v>
      </c>
      <c r="J51" t="s">
        <v>81</v>
      </c>
      <c r="K51" t="s">
        <v>31</v>
      </c>
      <c r="L51" t="s">
        <v>273</v>
      </c>
      <c r="M51" t="s">
        <v>21</v>
      </c>
      <c r="N51" s="7">
        <v>2024</v>
      </c>
      <c r="O51" s="11">
        <v>45474</v>
      </c>
      <c r="P51" s="6" t="s">
        <v>1012</v>
      </c>
    </row>
    <row r="52" spans="1:16" x14ac:dyDescent="0.2">
      <c r="A52" t="s">
        <v>4</v>
      </c>
      <c r="B52" t="s">
        <v>43</v>
      </c>
      <c r="D52" t="s">
        <v>55</v>
      </c>
      <c r="F52" s="29"/>
      <c r="G52" s="25">
        <v>220</v>
      </c>
      <c r="H52" s="17">
        <f>Global[[#This Row],[Investment - Identified (US$m)]]+Global[[#This Row],[Investment - Estimated (US$m)]]</f>
        <v>220</v>
      </c>
      <c r="I52" t="s">
        <v>788</v>
      </c>
      <c r="J52" t="s">
        <v>541</v>
      </c>
      <c r="K52" t="s">
        <v>29</v>
      </c>
      <c r="L52" t="s">
        <v>274</v>
      </c>
      <c r="N52" s="7">
        <v>2024</v>
      </c>
      <c r="O52" s="11">
        <v>45474</v>
      </c>
    </row>
    <row r="53" spans="1:16" x14ac:dyDescent="0.2">
      <c r="A53" t="s">
        <v>4</v>
      </c>
      <c r="B53" t="s">
        <v>43</v>
      </c>
      <c r="D53" t="s">
        <v>132</v>
      </c>
      <c r="F53" s="29"/>
      <c r="G53" s="25">
        <v>200</v>
      </c>
      <c r="H53" s="17">
        <f>Global[[#This Row],[Investment - Identified (US$m)]]+Global[[#This Row],[Investment - Estimated (US$m)]]</f>
        <v>200</v>
      </c>
      <c r="J53" t="s">
        <v>69</v>
      </c>
      <c r="K53" t="s">
        <v>965</v>
      </c>
      <c r="L53" t="s">
        <v>275</v>
      </c>
      <c r="N53" s="7">
        <v>2025</v>
      </c>
      <c r="O53" s="11">
        <v>45444</v>
      </c>
    </row>
    <row r="54" spans="1:16" x14ac:dyDescent="0.2">
      <c r="A54" t="s">
        <v>4</v>
      </c>
      <c r="B54" t="s">
        <v>43</v>
      </c>
      <c r="D54" t="s">
        <v>55</v>
      </c>
      <c r="F54" s="29"/>
      <c r="G54" s="25">
        <v>160</v>
      </c>
      <c r="H54" s="17">
        <f>Global[[#This Row],[Investment - Identified (US$m)]]+Global[[#This Row],[Investment - Estimated (US$m)]]</f>
        <v>160</v>
      </c>
      <c r="J54" t="s">
        <v>72</v>
      </c>
      <c r="K54" t="s">
        <v>844</v>
      </c>
      <c r="L54" t="s">
        <v>276</v>
      </c>
      <c r="N54" s="7">
        <v>2025</v>
      </c>
      <c r="O54" s="11">
        <v>45047</v>
      </c>
    </row>
    <row r="55" spans="1:16" x14ac:dyDescent="0.2">
      <c r="A55" t="s">
        <v>5</v>
      </c>
      <c r="B55" t="s">
        <v>43</v>
      </c>
      <c r="D55" t="s">
        <v>210</v>
      </c>
      <c r="F55" s="29">
        <v>320</v>
      </c>
      <c r="G55" s="25"/>
      <c r="H55" s="17">
        <f>Global[[#This Row],[Investment - Identified (US$m)]]+Global[[#This Row],[Investment - Estimated (US$m)]]</f>
        <v>320</v>
      </c>
      <c r="I55" t="s">
        <v>789</v>
      </c>
      <c r="J55" t="s">
        <v>82</v>
      </c>
      <c r="K55" t="s">
        <v>31</v>
      </c>
      <c r="L55" t="s">
        <v>277</v>
      </c>
      <c r="N55" s="7">
        <v>2026</v>
      </c>
      <c r="O55" s="11">
        <v>45901</v>
      </c>
      <c r="P55" s="6" t="s">
        <v>355</v>
      </c>
    </row>
    <row r="56" spans="1:16" x14ac:dyDescent="0.2">
      <c r="A56" t="s">
        <v>4</v>
      </c>
      <c r="B56" t="s">
        <v>162</v>
      </c>
      <c r="D56" t="s">
        <v>55</v>
      </c>
      <c r="F56" s="29"/>
      <c r="G56" s="25">
        <v>400</v>
      </c>
      <c r="H56" s="17">
        <f>Global[[#This Row],[Investment - Identified (US$m)]]+Global[[#This Row],[Investment - Estimated (US$m)]]</f>
        <v>400</v>
      </c>
      <c r="I56" t="s">
        <v>790</v>
      </c>
      <c r="J56" t="s">
        <v>75</v>
      </c>
      <c r="K56" t="s">
        <v>29</v>
      </c>
      <c r="L56" t="s">
        <v>278</v>
      </c>
      <c r="N56" s="7">
        <v>2025</v>
      </c>
      <c r="O56" s="11">
        <v>45658</v>
      </c>
      <c r="P56" s="6" t="s">
        <v>356</v>
      </c>
    </row>
    <row r="57" spans="1:16" x14ac:dyDescent="0.2">
      <c r="A57" t="s">
        <v>4</v>
      </c>
      <c r="B57" t="s">
        <v>162</v>
      </c>
      <c r="D57" t="s">
        <v>55</v>
      </c>
      <c r="F57" s="29"/>
      <c r="G57" s="25">
        <v>40</v>
      </c>
      <c r="H57" s="17">
        <f>Global[[#This Row],[Investment - Identified (US$m)]]+Global[[#This Row],[Investment - Estimated (US$m)]]</f>
        <v>40</v>
      </c>
      <c r="J57" t="s">
        <v>245</v>
      </c>
      <c r="K57" t="s">
        <v>29</v>
      </c>
      <c r="L57" t="s">
        <v>279</v>
      </c>
      <c r="N57" s="7">
        <v>2024</v>
      </c>
      <c r="O57" s="11">
        <v>45566</v>
      </c>
      <c r="P57" s="6" t="s">
        <v>357</v>
      </c>
    </row>
    <row r="58" spans="1:16" x14ac:dyDescent="0.2">
      <c r="A58" t="s">
        <v>4</v>
      </c>
      <c r="B58" t="s">
        <v>162</v>
      </c>
      <c r="D58" t="s">
        <v>55</v>
      </c>
      <c r="F58" s="29">
        <v>446</v>
      </c>
      <c r="G58" s="25"/>
      <c r="H58" s="17">
        <f>Global[[#This Row],[Investment - Identified (US$m)]]+Global[[#This Row],[Investment - Estimated (US$m)]]</f>
        <v>446</v>
      </c>
      <c r="I58" t="s">
        <v>791</v>
      </c>
      <c r="J58" t="s">
        <v>250</v>
      </c>
      <c r="K58" t="s">
        <v>30</v>
      </c>
      <c r="L58" t="s">
        <v>280</v>
      </c>
      <c r="M58" t="s">
        <v>21</v>
      </c>
      <c r="N58" s="7">
        <v>2024</v>
      </c>
      <c r="O58" s="11">
        <v>45627</v>
      </c>
      <c r="P58" s="6" t="s">
        <v>358</v>
      </c>
    </row>
    <row r="59" spans="1:16" x14ac:dyDescent="0.2">
      <c r="A59" t="s">
        <v>4</v>
      </c>
      <c r="B59" t="s">
        <v>162</v>
      </c>
      <c r="D59" t="s">
        <v>55</v>
      </c>
      <c r="F59" s="29"/>
      <c r="G59" s="25">
        <v>30</v>
      </c>
      <c r="H59" s="17">
        <f>Global[[#This Row],[Investment - Identified (US$m)]]+Global[[#This Row],[Investment - Estimated (US$m)]]</f>
        <v>30</v>
      </c>
      <c r="J59" t="s">
        <v>1289</v>
      </c>
      <c r="K59" t="s">
        <v>29</v>
      </c>
      <c r="L59" t="s">
        <v>1291</v>
      </c>
      <c r="M59" t="s">
        <v>21</v>
      </c>
      <c r="N59" s="7">
        <v>2025</v>
      </c>
      <c r="O59" s="11">
        <v>45992</v>
      </c>
      <c r="P59" s="6" t="s">
        <v>1290</v>
      </c>
    </row>
    <row r="60" spans="1:16" x14ac:dyDescent="0.2">
      <c r="A60" t="s">
        <v>4</v>
      </c>
      <c r="B60" t="s">
        <v>163</v>
      </c>
      <c r="C60" t="s">
        <v>25</v>
      </c>
      <c r="D60" t="s">
        <v>966</v>
      </c>
      <c r="F60" s="29">
        <f>370*3/2</f>
        <v>555</v>
      </c>
      <c r="G60" s="25"/>
      <c r="H60" s="17">
        <f>Global[[#This Row],[Investment - Identified (US$m)]]+Global[[#This Row],[Investment - Estimated (US$m)]]</f>
        <v>555</v>
      </c>
      <c r="J60" t="s">
        <v>75</v>
      </c>
      <c r="K60" t="s">
        <v>29</v>
      </c>
      <c r="L60" t="s">
        <v>967</v>
      </c>
      <c r="M60" t="s">
        <v>21</v>
      </c>
      <c r="N60" s="7">
        <v>2024</v>
      </c>
      <c r="O60" s="11">
        <v>45444</v>
      </c>
      <c r="P60" s="6" t="s">
        <v>968</v>
      </c>
    </row>
    <row r="61" spans="1:16" x14ac:dyDescent="0.2">
      <c r="A61" t="s">
        <v>4</v>
      </c>
      <c r="B61" t="s">
        <v>163</v>
      </c>
      <c r="C61" t="s">
        <v>25</v>
      </c>
      <c r="D61" t="s">
        <v>972</v>
      </c>
      <c r="F61" s="29">
        <v>70</v>
      </c>
      <c r="G61" s="25"/>
      <c r="H61" s="17">
        <f>Global[[#This Row],[Investment - Identified (US$m)]]+Global[[#This Row],[Investment - Estimated (US$m)]]</f>
        <v>70</v>
      </c>
      <c r="J61" t="s">
        <v>247</v>
      </c>
      <c r="K61" t="s">
        <v>30</v>
      </c>
      <c r="L61" t="s">
        <v>973</v>
      </c>
      <c r="M61" t="s">
        <v>20</v>
      </c>
      <c r="N61" s="7">
        <v>2026</v>
      </c>
      <c r="O61" s="11">
        <v>45597</v>
      </c>
      <c r="P61" s="6" t="s">
        <v>974</v>
      </c>
    </row>
    <row r="62" spans="1:16" ht="16" customHeight="1" x14ac:dyDescent="0.2">
      <c r="A62" t="s">
        <v>4</v>
      </c>
      <c r="B62" t="s">
        <v>164</v>
      </c>
      <c r="D62" t="s">
        <v>211</v>
      </c>
      <c r="F62" s="29"/>
      <c r="G62" s="25">
        <v>511</v>
      </c>
      <c r="H62" s="17">
        <f>Global[[#This Row],[Investment - Identified (US$m)]]+Global[[#This Row],[Investment - Estimated (US$m)]]</f>
        <v>511</v>
      </c>
      <c r="J62" t="s">
        <v>81</v>
      </c>
      <c r="K62" t="s">
        <v>31</v>
      </c>
      <c r="L62" t="s">
        <v>281</v>
      </c>
      <c r="N62" s="7">
        <v>2024</v>
      </c>
      <c r="O62" s="11">
        <v>45352</v>
      </c>
    </row>
    <row r="63" spans="1:16" x14ac:dyDescent="0.2">
      <c r="A63" t="s">
        <v>4</v>
      </c>
      <c r="B63" t="s">
        <v>165</v>
      </c>
      <c r="D63" t="s">
        <v>55</v>
      </c>
      <c r="F63" s="29">
        <v>2000</v>
      </c>
      <c r="G63" s="25"/>
      <c r="H63" s="17">
        <f>Global[[#This Row],[Investment - Identified (US$m)]]+Global[[#This Row],[Investment - Estimated (US$m)]]</f>
        <v>2000</v>
      </c>
      <c r="I63" t="s">
        <v>1069</v>
      </c>
      <c r="J63" t="s">
        <v>71</v>
      </c>
      <c r="K63" t="s">
        <v>844</v>
      </c>
      <c r="L63" t="s">
        <v>1067</v>
      </c>
      <c r="M63" t="s">
        <v>20</v>
      </c>
      <c r="N63" s="7">
        <v>2026</v>
      </c>
      <c r="O63" s="11">
        <v>45717</v>
      </c>
      <c r="P63" s="6" t="s">
        <v>1068</v>
      </c>
    </row>
    <row r="64" spans="1:16" x14ac:dyDescent="0.2">
      <c r="A64" t="s">
        <v>4</v>
      </c>
      <c r="B64" t="s">
        <v>165</v>
      </c>
      <c r="C64" t="s">
        <v>25</v>
      </c>
      <c r="D64" t="s">
        <v>1017</v>
      </c>
      <c r="F64" s="29">
        <v>70</v>
      </c>
      <c r="G64" s="25"/>
      <c r="H64" s="17">
        <f>Global[[#This Row],[Investment - Identified (US$m)]]+Global[[#This Row],[Investment - Estimated (US$m)]]</f>
        <v>70</v>
      </c>
      <c r="I64" t="s">
        <v>1015</v>
      </c>
      <c r="J64" t="s">
        <v>1016</v>
      </c>
      <c r="K64" t="s">
        <v>965</v>
      </c>
      <c r="L64" t="s">
        <v>284</v>
      </c>
      <c r="M64" t="s">
        <v>20</v>
      </c>
      <c r="N64" s="7">
        <v>2026</v>
      </c>
      <c r="O64" s="11">
        <v>45992</v>
      </c>
      <c r="P64" s="6" t="s">
        <v>1018</v>
      </c>
    </row>
    <row r="65" spans="1:17" x14ac:dyDescent="0.2">
      <c r="A65" t="s">
        <v>4</v>
      </c>
      <c r="B65" t="s">
        <v>166</v>
      </c>
      <c r="D65" t="s">
        <v>212</v>
      </c>
      <c r="F65" s="29">
        <f>300*EURUSD</f>
        <v>333.00000000000006</v>
      </c>
      <c r="G65" s="25"/>
      <c r="H65" s="17">
        <f>Global[[#This Row],[Investment - Identified (US$m)]]+Global[[#This Row],[Investment - Estimated (US$m)]]</f>
        <v>333.00000000000006</v>
      </c>
      <c r="I65" t="s">
        <v>793</v>
      </c>
      <c r="J65" t="s">
        <v>792</v>
      </c>
      <c r="K65" t="s">
        <v>30</v>
      </c>
      <c r="L65" t="s">
        <v>282</v>
      </c>
      <c r="N65" s="7">
        <v>2026</v>
      </c>
      <c r="O65" s="11">
        <v>45352</v>
      </c>
    </row>
    <row r="66" spans="1:17" x14ac:dyDescent="0.2">
      <c r="A66" t="s">
        <v>4</v>
      </c>
      <c r="B66" t="s">
        <v>167</v>
      </c>
      <c r="D66" t="s">
        <v>213</v>
      </c>
      <c r="F66" s="29"/>
      <c r="G66" s="25">
        <v>1500</v>
      </c>
      <c r="H66" s="17">
        <f>Global[[#This Row],[Investment - Identified (US$m)]]+Global[[#This Row],[Investment - Estimated (US$m)]]</f>
        <v>1500</v>
      </c>
      <c r="I66" t="s">
        <v>794</v>
      </c>
      <c r="J66" t="s">
        <v>242</v>
      </c>
      <c r="K66" t="s">
        <v>845</v>
      </c>
      <c r="L66" t="s">
        <v>283</v>
      </c>
      <c r="N66" s="7">
        <v>2024</v>
      </c>
      <c r="O66" s="12">
        <v>45505</v>
      </c>
    </row>
    <row r="67" spans="1:17" x14ac:dyDescent="0.2">
      <c r="A67" t="s">
        <v>4</v>
      </c>
      <c r="B67" t="s">
        <v>168</v>
      </c>
      <c r="D67" t="s">
        <v>214</v>
      </c>
      <c r="F67" s="29"/>
      <c r="G67" s="25">
        <v>100</v>
      </c>
      <c r="H67" s="17">
        <f>Global[[#This Row],[Investment - Identified (US$m)]]+Global[[#This Row],[Investment - Estimated (US$m)]]</f>
        <v>100</v>
      </c>
      <c r="I67" t="s">
        <v>796</v>
      </c>
      <c r="J67" t="s">
        <v>795</v>
      </c>
      <c r="K67" t="s">
        <v>965</v>
      </c>
      <c r="L67" t="s">
        <v>284</v>
      </c>
      <c r="N67" s="7">
        <v>2025</v>
      </c>
      <c r="O67" s="11">
        <v>45413</v>
      </c>
    </row>
    <row r="68" spans="1:17" x14ac:dyDescent="0.2">
      <c r="A68" t="s">
        <v>4</v>
      </c>
      <c r="B68" t="s">
        <v>169</v>
      </c>
      <c r="D68" t="s">
        <v>215</v>
      </c>
      <c r="F68" s="29"/>
      <c r="G68" s="25">
        <v>100</v>
      </c>
      <c r="H68" s="17">
        <f>Global[[#This Row],[Investment - Identified (US$m)]]+Global[[#This Row],[Investment - Estimated (US$m)]]</f>
        <v>100</v>
      </c>
      <c r="J68" t="s">
        <v>246</v>
      </c>
      <c r="K68" t="s">
        <v>965</v>
      </c>
      <c r="L68" t="s">
        <v>284</v>
      </c>
      <c r="N68" s="7">
        <v>2025</v>
      </c>
      <c r="O68" s="11">
        <v>45474</v>
      </c>
    </row>
    <row r="69" spans="1:17" x14ac:dyDescent="0.2">
      <c r="A69" t="s">
        <v>4</v>
      </c>
      <c r="B69" t="s">
        <v>163</v>
      </c>
      <c r="D69" t="s">
        <v>216</v>
      </c>
      <c r="F69" s="29">
        <v>850</v>
      </c>
      <c r="G69" s="25"/>
      <c r="H69" s="17">
        <f>Global[[#This Row],[Investment - Identified (US$m)]]+Global[[#This Row],[Investment - Estimated (US$m)]]</f>
        <v>850</v>
      </c>
      <c r="J69" t="s">
        <v>136</v>
      </c>
      <c r="K69" t="s">
        <v>845</v>
      </c>
      <c r="L69" t="s">
        <v>285</v>
      </c>
      <c r="N69" s="7" t="s">
        <v>55</v>
      </c>
      <c r="O69" s="11">
        <v>45627</v>
      </c>
      <c r="P69" t="s">
        <v>359</v>
      </c>
    </row>
    <row r="70" spans="1:17" x14ac:dyDescent="0.2">
      <c r="A70" t="s">
        <v>4</v>
      </c>
      <c r="B70" t="s">
        <v>170</v>
      </c>
      <c r="D70" t="s">
        <v>55</v>
      </c>
      <c r="F70" s="29"/>
      <c r="G70" s="25">
        <v>150</v>
      </c>
      <c r="H70" s="17">
        <f>Global[[#This Row],[Investment - Identified (US$m)]]+Global[[#This Row],[Investment - Estimated (US$m)]]</f>
        <v>150</v>
      </c>
      <c r="I70" t="s">
        <v>797</v>
      </c>
      <c r="J70" t="s">
        <v>250</v>
      </c>
      <c r="K70" t="s">
        <v>30</v>
      </c>
      <c r="L70" t="s">
        <v>286</v>
      </c>
      <c r="N70" s="7">
        <v>2026</v>
      </c>
      <c r="O70" s="11">
        <v>45627</v>
      </c>
      <c r="P70" s="6" t="s">
        <v>360</v>
      </c>
    </row>
    <row r="71" spans="1:17" x14ac:dyDescent="0.2">
      <c r="A71" t="s">
        <v>4</v>
      </c>
      <c r="B71" t="s">
        <v>126</v>
      </c>
      <c r="D71" t="s">
        <v>217</v>
      </c>
      <c r="F71" s="29">
        <f>66*EURUSD</f>
        <v>73.260000000000005</v>
      </c>
      <c r="G71" s="25"/>
      <c r="H71" s="17">
        <f>Global[[#This Row],[Investment - Identified (US$m)]]+Global[[#This Row],[Investment - Estimated (US$m)]]</f>
        <v>73.260000000000005</v>
      </c>
      <c r="J71" t="s">
        <v>247</v>
      </c>
      <c r="K71" t="s">
        <v>30</v>
      </c>
      <c r="L71" t="s">
        <v>287</v>
      </c>
      <c r="O71" s="11">
        <v>45597</v>
      </c>
      <c r="P71" s="6" t="s">
        <v>361</v>
      </c>
    </row>
    <row r="72" spans="1:17" x14ac:dyDescent="0.2">
      <c r="A72" t="s">
        <v>4</v>
      </c>
      <c r="B72" t="s">
        <v>928</v>
      </c>
      <c r="D72" t="s">
        <v>929</v>
      </c>
      <c r="F72" s="29"/>
      <c r="G72" s="25">
        <v>70</v>
      </c>
      <c r="H72" s="17">
        <f>Global[[#This Row],[Investment - Identified (US$m)]]+Global[[#This Row],[Investment - Estimated (US$m)]]</f>
        <v>70</v>
      </c>
      <c r="J72" t="s">
        <v>248</v>
      </c>
      <c r="K72" t="s">
        <v>845</v>
      </c>
      <c r="L72" t="s">
        <v>284</v>
      </c>
      <c r="N72" s="7">
        <v>2027</v>
      </c>
      <c r="O72" s="11">
        <v>45597</v>
      </c>
      <c r="P72" s="6" t="s">
        <v>930</v>
      </c>
    </row>
    <row r="73" spans="1:17" x14ac:dyDescent="0.2">
      <c r="A73" t="s">
        <v>4</v>
      </c>
      <c r="B73" t="s">
        <v>927</v>
      </c>
      <c r="D73" t="s">
        <v>218</v>
      </c>
      <c r="F73" s="29"/>
      <c r="G73" s="25">
        <v>100</v>
      </c>
      <c r="H73" s="17">
        <f>Global[[#This Row],[Investment - Identified (US$m)]]+Global[[#This Row],[Investment - Estimated (US$m)]]</f>
        <v>100</v>
      </c>
      <c r="J73" t="s">
        <v>248</v>
      </c>
      <c r="K73" t="s">
        <v>845</v>
      </c>
      <c r="L73" t="s">
        <v>276</v>
      </c>
      <c r="N73" s="7">
        <v>2028</v>
      </c>
      <c r="O73" s="11">
        <v>45962</v>
      </c>
      <c r="P73" s="6" t="s">
        <v>926</v>
      </c>
    </row>
    <row r="74" spans="1:17" x14ac:dyDescent="0.2">
      <c r="A74" t="s">
        <v>5</v>
      </c>
      <c r="B74" t="s">
        <v>171</v>
      </c>
      <c r="D74" t="s">
        <v>218</v>
      </c>
      <c r="F74" s="29"/>
      <c r="G74" s="25">
        <v>140</v>
      </c>
      <c r="H74" s="17">
        <f>Global[[#This Row],[Investment - Identified (US$m)]]+Global[[#This Row],[Investment - Estimated (US$m)]]</f>
        <v>140</v>
      </c>
      <c r="I74" t="s">
        <v>924</v>
      </c>
      <c r="J74" t="s">
        <v>248</v>
      </c>
      <c r="K74" t="s">
        <v>845</v>
      </c>
      <c r="L74" t="s">
        <v>925</v>
      </c>
      <c r="M74" t="s">
        <v>18</v>
      </c>
      <c r="O74" s="11">
        <v>45962</v>
      </c>
      <c r="P74" s="6" t="s">
        <v>362</v>
      </c>
      <c r="Q74" s="6" t="s">
        <v>926</v>
      </c>
    </row>
    <row r="75" spans="1:17" x14ac:dyDescent="0.2">
      <c r="A75" t="s">
        <v>5</v>
      </c>
      <c r="B75" t="s">
        <v>43</v>
      </c>
      <c r="D75" t="s">
        <v>219</v>
      </c>
      <c r="F75" s="29"/>
      <c r="G75" s="25"/>
      <c r="H75" s="17">
        <f>Global[[#This Row],[Investment - Identified (US$m)]]+Global[[#This Row],[Investment - Estimated (US$m)]]</f>
        <v>0</v>
      </c>
      <c r="J75" t="s">
        <v>72</v>
      </c>
      <c r="K75" t="s">
        <v>844</v>
      </c>
      <c r="L75" t="s">
        <v>288</v>
      </c>
      <c r="N75" s="7">
        <v>2027</v>
      </c>
      <c r="O75" s="11">
        <v>45597</v>
      </c>
      <c r="P75" t="s">
        <v>363</v>
      </c>
    </row>
    <row r="76" spans="1:17" x14ac:dyDescent="0.2">
      <c r="A76" t="s">
        <v>5</v>
      </c>
      <c r="B76" t="s">
        <v>1034</v>
      </c>
      <c r="D76" t="s">
        <v>220</v>
      </c>
      <c r="F76" s="29"/>
      <c r="G76" s="25">
        <v>1000</v>
      </c>
      <c r="H76" s="17">
        <f>Global[[#This Row],[Investment - Identified (US$m)]]+Global[[#This Row],[Investment - Estimated (US$m)]]</f>
        <v>1000</v>
      </c>
      <c r="I76" t="s">
        <v>798</v>
      </c>
      <c r="J76" t="s">
        <v>249</v>
      </c>
      <c r="K76" t="s">
        <v>844</v>
      </c>
      <c r="L76" t="s">
        <v>289</v>
      </c>
      <c r="N76" s="7">
        <v>2029</v>
      </c>
      <c r="O76" s="11">
        <v>45931</v>
      </c>
      <c r="P76" s="6" t="s">
        <v>364</v>
      </c>
    </row>
    <row r="77" spans="1:17" x14ac:dyDescent="0.2">
      <c r="A77" t="s">
        <v>5</v>
      </c>
      <c r="B77" t="s">
        <v>170</v>
      </c>
      <c r="D77" t="s">
        <v>55</v>
      </c>
      <c r="F77" s="29">
        <f>400*AUDUSD</f>
        <v>268</v>
      </c>
      <c r="G77" s="25"/>
      <c r="H77" s="17">
        <f>Global[[#This Row],[Investment - Identified (US$m)]]+Global[[#This Row],[Investment - Estimated (US$m)]]</f>
        <v>268</v>
      </c>
      <c r="J77" t="s">
        <v>79</v>
      </c>
      <c r="K77" t="s">
        <v>964</v>
      </c>
      <c r="L77" t="s">
        <v>290</v>
      </c>
      <c r="N77" s="7">
        <v>2026</v>
      </c>
      <c r="O77" s="11">
        <v>45597</v>
      </c>
    </row>
    <row r="78" spans="1:17" x14ac:dyDescent="0.2">
      <c r="A78" t="s">
        <v>5</v>
      </c>
      <c r="B78" t="s">
        <v>167</v>
      </c>
      <c r="D78" t="s">
        <v>55</v>
      </c>
      <c r="F78" s="29"/>
      <c r="G78" s="25">
        <f>1000*0.64</f>
        <v>640</v>
      </c>
      <c r="H78" s="17">
        <f>Global[[#This Row],[Investment - Identified (US$m)]]+Global[[#This Row],[Investment - Estimated (US$m)]]</f>
        <v>640</v>
      </c>
      <c r="J78" t="s">
        <v>79</v>
      </c>
      <c r="K78" t="s">
        <v>964</v>
      </c>
      <c r="L78" t="s">
        <v>291</v>
      </c>
      <c r="N78" s="7" t="s">
        <v>55</v>
      </c>
      <c r="O78" s="11">
        <v>45627</v>
      </c>
    </row>
    <row r="79" spans="1:17" x14ac:dyDescent="0.2">
      <c r="A79" t="s">
        <v>5</v>
      </c>
      <c r="B79" t="s">
        <v>167</v>
      </c>
      <c r="D79" t="s">
        <v>221</v>
      </c>
      <c r="F79" s="29"/>
      <c r="G79" s="25">
        <f>600*0.65</f>
        <v>390</v>
      </c>
      <c r="H79" s="17">
        <f>Global[[#This Row],[Investment - Identified (US$m)]]+Global[[#This Row],[Investment - Estimated (US$m)]]</f>
        <v>390</v>
      </c>
      <c r="I79" t="s">
        <v>799</v>
      </c>
      <c r="J79" t="s">
        <v>79</v>
      </c>
      <c r="K79" t="s">
        <v>964</v>
      </c>
      <c r="L79" t="s">
        <v>292</v>
      </c>
      <c r="N79" s="7">
        <v>2027</v>
      </c>
      <c r="O79" s="11">
        <v>45901</v>
      </c>
      <c r="P79" s="6" t="s">
        <v>365</v>
      </c>
    </row>
    <row r="80" spans="1:17" x14ac:dyDescent="0.2">
      <c r="A80" t="s">
        <v>5</v>
      </c>
      <c r="B80" t="s">
        <v>416</v>
      </c>
      <c r="D80" t="s">
        <v>1292</v>
      </c>
      <c r="F80" s="29"/>
      <c r="G80" s="25"/>
      <c r="H80" s="17">
        <f>Global[[#This Row],[Investment - Identified (US$m)]]+Global[[#This Row],[Investment - Estimated (US$m)]]</f>
        <v>0</v>
      </c>
      <c r="I80" t="s">
        <v>842</v>
      </c>
      <c r="J80" t="s">
        <v>255</v>
      </c>
      <c r="K80" t="s">
        <v>844</v>
      </c>
      <c r="L80" s="5" t="s">
        <v>1293</v>
      </c>
      <c r="M80" t="s">
        <v>18</v>
      </c>
      <c r="N80" s="7">
        <v>2027</v>
      </c>
      <c r="O80" s="11">
        <v>46023</v>
      </c>
      <c r="P80" s="6" t="s">
        <v>1294</v>
      </c>
    </row>
    <row r="81" spans="1:17" x14ac:dyDescent="0.2">
      <c r="A81" t="s">
        <v>6</v>
      </c>
      <c r="B81" t="s">
        <v>172</v>
      </c>
      <c r="D81" t="s">
        <v>222</v>
      </c>
      <c r="F81" s="29">
        <v>1900</v>
      </c>
      <c r="G81" s="25"/>
      <c r="H81" s="17">
        <f>Global[[#This Row],[Investment - Identified (US$m)]]+Global[[#This Row],[Investment - Estimated (US$m)]]</f>
        <v>1900</v>
      </c>
      <c r="J81" t="s">
        <v>69</v>
      </c>
      <c r="K81" t="s">
        <v>965</v>
      </c>
      <c r="L81" t="s">
        <v>293</v>
      </c>
      <c r="N81" s="7">
        <v>2026</v>
      </c>
      <c r="O81" s="11">
        <v>45323</v>
      </c>
    </row>
    <row r="82" spans="1:17" x14ac:dyDescent="0.2">
      <c r="A82" t="s">
        <v>7</v>
      </c>
      <c r="B82" t="s">
        <v>173</v>
      </c>
      <c r="D82" t="s">
        <v>223</v>
      </c>
      <c r="F82" s="29">
        <v>100</v>
      </c>
      <c r="G82" s="25"/>
      <c r="H82" s="17">
        <f>Global[[#This Row],[Investment - Identified (US$m)]]+Global[[#This Row],[Investment - Estimated (US$m)]]</f>
        <v>100</v>
      </c>
      <c r="I82" t="s">
        <v>1026</v>
      </c>
      <c r="J82" t="s">
        <v>249</v>
      </c>
      <c r="K82" t="s">
        <v>844</v>
      </c>
      <c r="L82" t="s">
        <v>294</v>
      </c>
      <c r="M82" t="s">
        <v>21</v>
      </c>
      <c r="N82" s="7">
        <v>2025</v>
      </c>
      <c r="O82" s="11">
        <v>45505</v>
      </c>
      <c r="P82" s="6" t="s">
        <v>366</v>
      </c>
    </row>
    <row r="83" spans="1:17" x14ac:dyDescent="0.2">
      <c r="A83" t="s">
        <v>7</v>
      </c>
      <c r="B83" t="s">
        <v>173</v>
      </c>
      <c r="D83" t="s">
        <v>55</v>
      </c>
      <c r="F83" s="29">
        <v>200</v>
      </c>
      <c r="G83" s="25"/>
      <c r="H83" s="17">
        <f>Global[[#This Row],[Investment - Identified (US$m)]]+Global[[#This Row],[Investment - Estimated (US$m)]]</f>
        <v>200</v>
      </c>
      <c r="I83" t="s">
        <v>800</v>
      </c>
      <c r="J83" t="s">
        <v>529</v>
      </c>
      <c r="K83" t="s">
        <v>28</v>
      </c>
      <c r="L83" t="s">
        <v>295</v>
      </c>
      <c r="N83" s="7">
        <v>2024</v>
      </c>
      <c r="O83" s="11">
        <v>45231</v>
      </c>
    </row>
    <row r="84" spans="1:17" x14ac:dyDescent="0.2">
      <c r="A84" t="s">
        <v>7</v>
      </c>
      <c r="B84" t="s">
        <v>173</v>
      </c>
      <c r="D84" t="s">
        <v>224</v>
      </c>
      <c r="F84" s="29"/>
      <c r="G84" s="25">
        <v>150</v>
      </c>
      <c r="H84" s="17">
        <f>Global[[#This Row],[Investment - Identified (US$m)]]+Global[[#This Row],[Investment - Estimated (US$m)]]</f>
        <v>150</v>
      </c>
      <c r="J84" t="s">
        <v>250</v>
      </c>
      <c r="K84" t="s">
        <v>30</v>
      </c>
      <c r="L84" t="s">
        <v>296</v>
      </c>
      <c r="N84" s="7" t="s">
        <v>55</v>
      </c>
      <c r="O84" s="11">
        <v>45566</v>
      </c>
      <c r="P84" t="s">
        <v>367</v>
      </c>
    </row>
    <row r="85" spans="1:17" x14ac:dyDescent="0.2">
      <c r="A85" t="s">
        <v>7</v>
      </c>
      <c r="B85" t="s">
        <v>173</v>
      </c>
      <c r="D85" t="s">
        <v>225</v>
      </c>
      <c r="F85" s="29"/>
      <c r="G85" s="25"/>
      <c r="H85" s="17">
        <f>Global[[#This Row],[Investment - Identified (US$m)]]+Global[[#This Row],[Investment - Estimated (US$m)]]</f>
        <v>0</v>
      </c>
      <c r="J85" t="s">
        <v>242</v>
      </c>
      <c r="K85" t="s">
        <v>845</v>
      </c>
      <c r="L85" t="s">
        <v>297</v>
      </c>
      <c r="N85" s="7">
        <v>2025</v>
      </c>
      <c r="O85" s="11">
        <v>45200</v>
      </c>
      <c r="P85" s="6" t="s">
        <v>368</v>
      </c>
    </row>
    <row r="86" spans="1:17" x14ac:dyDescent="0.2">
      <c r="A86" t="s">
        <v>7</v>
      </c>
      <c r="B86" t="s">
        <v>173</v>
      </c>
      <c r="D86" t="s">
        <v>55</v>
      </c>
      <c r="F86" s="29"/>
      <c r="G86" s="25">
        <v>100</v>
      </c>
      <c r="H86" s="17">
        <f>Global[[#This Row],[Investment - Identified (US$m)]]+Global[[#This Row],[Investment - Estimated (US$m)]]</f>
        <v>100</v>
      </c>
      <c r="J86" t="s">
        <v>136</v>
      </c>
      <c r="K86" t="s">
        <v>845</v>
      </c>
      <c r="L86" t="s">
        <v>298</v>
      </c>
      <c r="N86" s="7">
        <v>2025</v>
      </c>
      <c r="O86" s="11">
        <v>45689</v>
      </c>
      <c r="P86" t="s">
        <v>369</v>
      </c>
    </row>
    <row r="87" spans="1:17" x14ac:dyDescent="0.2">
      <c r="A87" t="s">
        <v>7</v>
      </c>
      <c r="B87" t="s">
        <v>174</v>
      </c>
      <c r="D87" t="s">
        <v>55</v>
      </c>
      <c r="F87" s="29">
        <v>60</v>
      </c>
      <c r="G87" s="25"/>
      <c r="H87" s="17">
        <f>Global[[#This Row],[Investment - Identified (US$m)]]+Global[[#This Row],[Investment - Estimated (US$m)]]</f>
        <v>60</v>
      </c>
      <c r="I87" t="s">
        <v>801</v>
      </c>
      <c r="J87" t="s">
        <v>529</v>
      </c>
      <c r="K87" t="s">
        <v>28</v>
      </c>
      <c r="L87" t="s">
        <v>1304</v>
      </c>
      <c r="M87" t="s">
        <v>21</v>
      </c>
      <c r="N87" s="7">
        <v>2024</v>
      </c>
      <c r="O87" s="15">
        <v>45839</v>
      </c>
      <c r="P87" s="6" t="s">
        <v>1303</v>
      </c>
    </row>
    <row r="88" spans="1:17" x14ac:dyDescent="0.2">
      <c r="A88" t="s">
        <v>7</v>
      </c>
      <c r="B88" t="s">
        <v>174</v>
      </c>
      <c r="D88" t="s">
        <v>226</v>
      </c>
      <c r="F88" s="29">
        <v>220</v>
      </c>
      <c r="G88" s="25"/>
      <c r="H88" s="17">
        <f>Global[[#This Row],[Investment - Identified (US$m)]]+Global[[#This Row],[Investment - Estimated (US$m)]]</f>
        <v>220</v>
      </c>
      <c r="I88" t="s">
        <v>802</v>
      </c>
      <c r="J88" t="s">
        <v>69</v>
      </c>
      <c r="K88" t="s">
        <v>965</v>
      </c>
      <c r="L88" t="s">
        <v>300</v>
      </c>
      <c r="N88" s="7" t="s">
        <v>55</v>
      </c>
      <c r="O88" s="15">
        <v>45901</v>
      </c>
      <c r="P88" s="6" t="s">
        <v>370</v>
      </c>
    </row>
    <row r="89" spans="1:17" x14ac:dyDescent="0.2">
      <c r="A89" t="s">
        <v>7</v>
      </c>
      <c r="B89" t="s">
        <v>174</v>
      </c>
      <c r="D89" t="s">
        <v>227</v>
      </c>
      <c r="F89" s="29">
        <v>540</v>
      </c>
      <c r="G89" s="25"/>
      <c r="H89" s="17">
        <f>Global[[#This Row],[Investment - Identified (US$m)]]+Global[[#This Row],[Investment - Estimated (US$m)]]</f>
        <v>540</v>
      </c>
      <c r="I89" t="s">
        <v>804</v>
      </c>
      <c r="J89" t="s">
        <v>139</v>
      </c>
      <c r="K89" t="s">
        <v>845</v>
      </c>
      <c r="L89" t="s">
        <v>301</v>
      </c>
      <c r="N89" s="7">
        <v>2025</v>
      </c>
      <c r="O89" s="15">
        <v>45809</v>
      </c>
      <c r="P89" s="6" t="s">
        <v>370</v>
      </c>
    </row>
    <row r="90" spans="1:17" x14ac:dyDescent="0.2">
      <c r="A90" t="s">
        <v>7</v>
      </c>
      <c r="B90" t="s">
        <v>167</v>
      </c>
      <c r="D90" t="s">
        <v>55</v>
      </c>
      <c r="F90" s="29">
        <v>150</v>
      </c>
      <c r="G90" s="25"/>
      <c r="H90" s="17">
        <f>Global[[#This Row],[Investment - Identified (US$m)]]+Global[[#This Row],[Investment - Estimated (US$m)]]</f>
        <v>150</v>
      </c>
      <c r="I90" t="s">
        <v>803</v>
      </c>
      <c r="J90" t="s">
        <v>529</v>
      </c>
      <c r="K90" t="s">
        <v>28</v>
      </c>
      <c r="L90" t="s">
        <v>299</v>
      </c>
      <c r="N90" s="7">
        <v>2024</v>
      </c>
      <c r="O90" s="15">
        <v>45839</v>
      </c>
    </row>
    <row r="91" spans="1:17" x14ac:dyDescent="0.2">
      <c r="A91" t="s">
        <v>7</v>
      </c>
      <c r="B91" t="s">
        <v>167</v>
      </c>
      <c r="D91" t="s">
        <v>130</v>
      </c>
      <c r="F91" s="29">
        <v>985</v>
      </c>
      <c r="G91" s="25"/>
      <c r="H91" s="17">
        <f>Global[[#This Row],[Investment - Identified (US$m)]]+Global[[#This Row],[Investment - Estimated (US$m)]]</f>
        <v>985</v>
      </c>
      <c r="J91" t="s">
        <v>136</v>
      </c>
      <c r="K91" t="s">
        <v>845</v>
      </c>
      <c r="L91" t="s">
        <v>302</v>
      </c>
      <c r="N91" s="7">
        <v>2026</v>
      </c>
      <c r="O91" s="11">
        <v>45474</v>
      </c>
      <c r="P91" s="6" t="s">
        <v>371</v>
      </c>
    </row>
    <row r="92" spans="1:17" x14ac:dyDescent="0.2">
      <c r="A92" t="s">
        <v>7</v>
      </c>
      <c r="B92" t="s">
        <v>167</v>
      </c>
      <c r="D92" t="s">
        <v>55</v>
      </c>
      <c r="F92" s="29">
        <v>1500</v>
      </c>
      <c r="G92" s="25"/>
      <c r="H92" s="17">
        <f>Global[[#This Row],[Investment - Identified (US$m)]]+Global[[#This Row],[Investment - Estimated (US$m)]]</f>
        <v>1500</v>
      </c>
      <c r="I92" t="s">
        <v>806</v>
      </c>
      <c r="J92" t="s">
        <v>805</v>
      </c>
      <c r="K92" t="s">
        <v>844</v>
      </c>
      <c r="L92" t="s">
        <v>303</v>
      </c>
      <c r="N92" s="7">
        <v>2023</v>
      </c>
      <c r="O92" s="15">
        <v>45200</v>
      </c>
      <c r="P92" s="6" t="s">
        <v>372</v>
      </c>
    </row>
    <row r="93" spans="1:17" x14ac:dyDescent="0.2">
      <c r="A93" t="s">
        <v>7</v>
      </c>
      <c r="B93" t="s">
        <v>170</v>
      </c>
      <c r="D93" t="s">
        <v>55</v>
      </c>
      <c r="F93" s="29">
        <v>250</v>
      </c>
      <c r="G93" s="25"/>
      <c r="H93" s="17">
        <f>Global[[#This Row],[Investment - Identified (US$m)]]+Global[[#This Row],[Investment - Estimated (US$m)]]</f>
        <v>250</v>
      </c>
      <c r="I93" t="s">
        <v>807</v>
      </c>
      <c r="J93" t="s">
        <v>529</v>
      </c>
      <c r="K93" t="s">
        <v>28</v>
      </c>
      <c r="L93" t="s">
        <v>295</v>
      </c>
      <c r="N93" s="7">
        <v>2025</v>
      </c>
      <c r="O93" s="11">
        <v>45627</v>
      </c>
      <c r="P93" t="s">
        <v>373</v>
      </c>
    </row>
    <row r="94" spans="1:17" x14ac:dyDescent="0.2">
      <c r="A94" t="s">
        <v>7</v>
      </c>
      <c r="B94" t="s">
        <v>170</v>
      </c>
      <c r="D94" t="s">
        <v>55</v>
      </c>
      <c r="F94" s="29">
        <v>800</v>
      </c>
      <c r="G94" s="25"/>
      <c r="H94" s="17">
        <f>Global[[#This Row],[Investment - Identified (US$m)]]+Global[[#This Row],[Investment - Estimated (US$m)]]</f>
        <v>800</v>
      </c>
      <c r="I94" t="s">
        <v>808</v>
      </c>
      <c r="J94" t="s">
        <v>529</v>
      </c>
      <c r="K94" t="s">
        <v>28</v>
      </c>
      <c r="L94" t="s">
        <v>304</v>
      </c>
      <c r="M94" t="s">
        <v>21</v>
      </c>
      <c r="N94" s="7">
        <v>2026</v>
      </c>
      <c r="O94" s="11">
        <v>46113</v>
      </c>
      <c r="P94" t="s">
        <v>374</v>
      </c>
      <c r="Q94" s="6" t="s">
        <v>1322</v>
      </c>
    </row>
    <row r="95" spans="1:17" x14ac:dyDescent="0.2">
      <c r="A95" t="s">
        <v>7</v>
      </c>
      <c r="B95" t="s">
        <v>170</v>
      </c>
      <c r="D95" t="s">
        <v>228</v>
      </c>
      <c r="F95" s="29">
        <v>250</v>
      </c>
      <c r="G95" s="25"/>
      <c r="H95" s="17">
        <f>Global[[#This Row],[Investment - Identified (US$m)]]+Global[[#This Row],[Investment - Estimated (US$m)]]</f>
        <v>250</v>
      </c>
      <c r="J95" t="s">
        <v>251</v>
      </c>
      <c r="K95" t="s">
        <v>965</v>
      </c>
      <c r="L95" t="s">
        <v>305</v>
      </c>
      <c r="N95" s="7" t="s">
        <v>55</v>
      </c>
      <c r="O95" s="11">
        <v>45778</v>
      </c>
      <c r="P95" s="6" t="s">
        <v>371</v>
      </c>
    </row>
    <row r="96" spans="1:17" x14ac:dyDescent="0.2">
      <c r="A96" t="s">
        <v>7</v>
      </c>
      <c r="B96" t="s">
        <v>175</v>
      </c>
      <c r="D96" t="s">
        <v>130</v>
      </c>
      <c r="F96" s="29">
        <v>2100</v>
      </c>
      <c r="G96" s="25"/>
      <c r="H96" s="17">
        <f>Global[[#This Row],[Investment - Identified (US$m)]]+Global[[#This Row],[Investment - Estimated (US$m)]]</f>
        <v>2100</v>
      </c>
      <c r="J96" t="s">
        <v>136</v>
      </c>
      <c r="K96" t="s">
        <v>845</v>
      </c>
      <c r="L96" t="s">
        <v>306</v>
      </c>
      <c r="N96" s="7" t="s">
        <v>55</v>
      </c>
      <c r="O96" s="11">
        <v>45474</v>
      </c>
    </row>
    <row r="97" spans="1:16" x14ac:dyDescent="0.2">
      <c r="A97" t="s">
        <v>7</v>
      </c>
      <c r="B97" t="s">
        <v>176</v>
      </c>
      <c r="D97" t="s">
        <v>55</v>
      </c>
      <c r="F97" s="29">
        <v>290</v>
      </c>
      <c r="G97" s="25"/>
      <c r="H97" s="17">
        <f>Global[[#This Row],[Investment - Identified (US$m)]]+Global[[#This Row],[Investment - Estimated (US$m)]]</f>
        <v>290</v>
      </c>
      <c r="I97" t="s">
        <v>809</v>
      </c>
      <c r="J97" t="s">
        <v>249</v>
      </c>
      <c r="K97" t="s">
        <v>844</v>
      </c>
      <c r="L97" t="s">
        <v>307</v>
      </c>
      <c r="M97" t="s">
        <v>18</v>
      </c>
      <c r="N97" s="7">
        <v>2025</v>
      </c>
      <c r="O97" s="11">
        <v>45231</v>
      </c>
    </row>
    <row r="98" spans="1:16" x14ac:dyDescent="0.2">
      <c r="A98" t="s">
        <v>7</v>
      </c>
      <c r="B98" t="s">
        <v>177</v>
      </c>
      <c r="D98" t="s">
        <v>55</v>
      </c>
      <c r="F98" s="29"/>
      <c r="G98" s="25">
        <f>11500*0.4</f>
        <v>4600</v>
      </c>
      <c r="H98" s="17">
        <f>Global[[#This Row],[Investment - Identified (US$m)]]+Global[[#This Row],[Investment - Estimated (US$m)]]</f>
        <v>4600</v>
      </c>
      <c r="I98" t="s">
        <v>1028</v>
      </c>
      <c r="J98" t="s">
        <v>249</v>
      </c>
      <c r="K98" t="s">
        <v>844</v>
      </c>
      <c r="L98" t="s">
        <v>308</v>
      </c>
      <c r="M98" t="s">
        <v>24</v>
      </c>
      <c r="N98" s="7" t="s">
        <v>55</v>
      </c>
      <c r="O98" s="11">
        <v>45108</v>
      </c>
      <c r="P98" s="6" t="s">
        <v>375</v>
      </c>
    </row>
    <row r="99" spans="1:16" x14ac:dyDescent="0.2">
      <c r="A99" t="s">
        <v>7</v>
      </c>
      <c r="B99" t="s">
        <v>177</v>
      </c>
      <c r="D99" t="s">
        <v>55</v>
      </c>
      <c r="F99" s="29">
        <v>700</v>
      </c>
      <c r="G99" s="25"/>
      <c r="H99" s="17">
        <f>Global[[#This Row],[Investment - Identified (US$m)]]+Global[[#This Row],[Investment - Estimated (US$m)]]</f>
        <v>700</v>
      </c>
      <c r="I99" t="s">
        <v>1027</v>
      </c>
      <c r="J99" t="s">
        <v>249</v>
      </c>
      <c r="K99" t="s">
        <v>844</v>
      </c>
      <c r="L99" t="s">
        <v>309</v>
      </c>
      <c r="M99" t="s">
        <v>21</v>
      </c>
      <c r="N99" s="7">
        <v>2024</v>
      </c>
      <c r="O99" s="11">
        <v>45658</v>
      </c>
      <c r="P99" s="6" t="s">
        <v>376</v>
      </c>
    </row>
    <row r="100" spans="1:16" x14ac:dyDescent="0.2">
      <c r="A100" t="s">
        <v>7</v>
      </c>
      <c r="B100" t="s">
        <v>177</v>
      </c>
      <c r="D100" t="s">
        <v>55</v>
      </c>
      <c r="F100" s="29">
        <v>700</v>
      </c>
      <c r="G100" s="25"/>
      <c r="H100" s="17">
        <f>Global[[#This Row],[Investment - Identified (US$m)]]+Global[[#This Row],[Investment - Estimated (US$m)]]</f>
        <v>700</v>
      </c>
      <c r="J100" t="s">
        <v>252</v>
      </c>
      <c r="K100" t="s">
        <v>965</v>
      </c>
      <c r="L100" t="s">
        <v>310</v>
      </c>
      <c r="N100" s="7" t="s">
        <v>55</v>
      </c>
      <c r="O100" s="11">
        <v>45717</v>
      </c>
      <c r="P100" s="6" t="s">
        <v>377</v>
      </c>
    </row>
    <row r="101" spans="1:16" x14ac:dyDescent="0.2">
      <c r="A101" t="s">
        <v>7</v>
      </c>
      <c r="B101" t="s">
        <v>178</v>
      </c>
      <c r="D101" t="s">
        <v>229</v>
      </c>
      <c r="F101" s="29">
        <v>600</v>
      </c>
      <c r="G101" s="25"/>
      <c r="H101" s="17">
        <f>Global[[#This Row],[Investment - Identified (US$m)]]+Global[[#This Row],[Investment - Estimated (US$m)]]</f>
        <v>600</v>
      </c>
      <c r="I101" t="s">
        <v>810</v>
      </c>
      <c r="J101" t="s">
        <v>529</v>
      </c>
      <c r="K101" t="s">
        <v>28</v>
      </c>
      <c r="L101" t="s">
        <v>295</v>
      </c>
      <c r="N101" s="7">
        <v>2024</v>
      </c>
      <c r="O101" s="11">
        <v>45536</v>
      </c>
      <c r="P101" s="13" t="s">
        <v>378</v>
      </c>
    </row>
    <row r="102" spans="1:16" x14ac:dyDescent="0.2">
      <c r="A102" t="s">
        <v>7</v>
      </c>
      <c r="B102" t="s">
        <v>178</v>
      </c>
      <c r="D102" t="s">
        <v>55</v>
      </c>
      <c r="F102" s="29"/>
      <c r="G102" s="25">
        <v>500</v>
      </c>
      <c r="H102" s="17">
        <f>Global[[#This Row],[Investment - Identified (US$m)]]+Global[[#This Row],[Investment - Estimated (US$m)]]</f>
        <v>500</v>
      </c>
      <c r="I102" t="s">
        <v>811</v>
      </c>
      <c r="J102" t="s">
        <v>255</v>
      </c>
      <c r="K102" t="s">
        <v>844</v>
      </c>
      <c r="L102" t="s">
        <v>311</v>
      </c>
      <c r="N102" s="7">
        <v>2024</v>
      </c>
      <c r="O102" s="11">
        <v>45200</v>
      </c>
    </row>
    <row r="103" spans="1:16" x14ac:dyDescent="0.2">
      <c r="A103" t="s">
        <v>7</v>
      </c>
      <c r="B103" t="s">
        <v>178</v>
      </c>
      <c r="D103" t="s">
        <v>230</v>
      </c>
      <c r="F103" s="29"/>
      <c r="G103" s="25">
        <v>50</v>
      </c>
      <c r="H103" s="17">
        <f>Global[[#This Row],[Investment - Identified (US$m)]]+Global[[#This Row],[Investment - Estimated (US$m)]]</f>
        <v>50</v>
      </c>
      <c r="I103" t="s">
        <v>812</v>
      </c>
      <c r="J103" t="s">
        <v>249</v>
      </c>
      <c r="K103" t="s">
        <v>844</v>
      </c>
      <c r="L103" t="s">
        <v>312</v>
      </c>
      <c r="N103" s="7">
        <v>2025</v>
      </c>
      <c r="O103" s="11">
        <v>45809</v>
      </c>
      <c r="P103" s="6" t="s">
        <v>379</v>
      </c>
    </row>
    <row r="104" spans="1:16" x14ac:dyDescent="0.2">
      <c r="A104" t="s">
        <v>7</v>
      </c>
      <c r="B104" t="s">
        <v>178</v>
      </c>
      <c r="D104" t="s">
        <v>55</v>
      </c>
      <c r="F104" s="29"/>
      <c r="G104" s="25">
        <v>20</v>
      </c>
      <c r="H104" s="17">
        <f>Global[[#This Row],[Investment - Identified (US$m)]]+Global[[#This Row],[Investment - Estimated (US$m)]]</f>
        <v>20</v>
      </c>
      <c r="J104" t="s">
        <v>253</v>
      </c>
      <c r="K104" t="s">
        <v>965</v>
      </c>
      <c r="L104" t="s">
        <v>1064</v>
      </c>
      <c r="O104" s="11">
        <v>45931</v>
      </c>
      <c r="P104" s="6" t="s">
        <v>380</v>
      </c>
    </row>
    <row r="105" spans="1:16" x14ac:dyDescent="0.2">
      <c r="A105" t="s">
        <v>7</v>
      </c>
      <c r="B105" t="s">
        <v>1301</v>
      </c>
      <c r="D105" t="s">
        <v>55</v>
      </c>
      <c r="F105" s="29"/>
      <c r="G105" s="25">
        <v>500</v>
      </c>
      <c r="H105" s="17">
        <f>Global[[#This Row],[Investment - Identified (US$m)]]+Global[[#This Row],[Investment - Estimated (US$m)]]</f>
        <v>500</v>
      </c>
      <c r="I105" t="s">
        <v>813</v>
      </c>
      <c r="J105" t="s">
        <v>529</v>
      </c>
      <c r="K105" t="s">
        <v>28</v>
      </c>
      <c r="L105" t="s">
        <v>295</v>
      </c>
      <c r="N105" s="7">
        <v>2023</v>
      </c>
      <c r="O105" s="11">
        <v>45839</v>
      </c>
      <c r="P105" s="6" t="s">
        <v>1302</v>
      </c>
    </row>
    <row r="106" spans="1:16" x14ac:dyDescent="0.2">
      <c r="A106" t="s">
        <v>7</v>
      </c>
      <c r="B106" t="s">
        <v>179</v>
      </c>
      <c r="F106" s="29"/>
      <c r="G106" s="25"/>
      <c r="H106" s="17">
        <f>Global[[#This Row],[Investment - Identified (US$m)]]+Global[[#This Row],[Investment - Estimated (US$m)]]</f>
        <v>0</v>
      </c>
      <c r="J106" t="s">
        <v>254</v>
      </c>
      <c r="K106" t="s">
        <v>844</v>
      </c>
      <c r="N106" s="7" t="s">
        <v>348</v>
      </c>
      <c r="O106" s="11"/>
    </row>
    <row r="107" spans="1:16" x14ac:dyDescent="0.2">
      <c r="A107" t="s">
        <v>7</v>
      </c>
      <c r="B107" t="s">
        <v>179</v>
      </c>
      <c r="F107" s="29"/>
      <c r="G107" s="25"/>
      <c r="H107" s="17">
        <f>Global[[#This Row],[Investment - Identified (US$m)]]+Global[[#This Row],[Investment - Estimated (US$m)]]</f>
        <v>0</v>
      </c>
      <c r="J107" t="s">
        <v>80</v>
      </c>
      <c r="K107" t="s">
        <v>30</v>
      </c>
      <c r="O107" s="11"/>
    </row>
    <row r="108" spans="1:16" x14ac:dyDescent="0.2">
      <c r="A108" t="s">
        <v>7</v>
      </c>
      <c r="B108" t="s">
        <v>180</v>
      </c>
      <c r="D108" t="s">
        <v>55</v>
      </c>
      <c r="F108" s="29"/>
      <c r="G108" s="25">
        <v>400</v>
      </c>
      <c r="H108" s="17">
        <f>Global[[#This Row],[Investment - Identified (US$m)]]+Global[[#This Row],[Investment - Estimated (US$m)]]</f>
        <v>400</v>
      </c>
      <c r="J108" t="s">
        <v>255</v>
      </c>
      <c r="K108" t="s">
        <v>844</v>
      </c>
      <c r="L108" t="s">
        <v>313</v>
      </c>
      <c r="N108" s="7">
        <v>2024</v>
      </c>
      <c r="O108" s="11">
        <v>45413</v>
      </c>
      <c r="P108" s="6" t="s">
        <v>381</v>
      </c>
    </row>
    <row r="109" spans="1:16" x14ac:dyDescent="0.2">
      <c r="A109" t="s">
        <v>7</v>
      </c>
      <c r="B109" t="s">
        <v>181</v>
      </c>
      <c r="D109" t="s">
        <v>55</v>
      </c>
      <c r="F109" s="29"/>
      <c r="G109" s="25"/>
      <c r="H109" s="17">
        <f>Global[[#This Row],[Investment - Identified (US$m)]]+Global[[#This Row],[Investment - Estimated (US$m)]]</f>
        <v>0</v>
      </c>
      <c r="J109" t="s">
        <v>136</v>
      </c>
      <c r="K109" t="s">
        <v>845</v>
      </c>
      <c r="L109" t="s">
        <v>314</v>
      </c>
      <c r="N109" s="7">
        <v>2025</v>
      </c>
      <c r="O109" s="11">
        <v>45170</v>
      </c>
      <c r="P109" s="6" t="s">
        <v>382</v>
      </c>
    </row>
    <row r="110" spans="1:16" x14ac:dyDescent="0.2">
      <c r="A110" t="s">
        <v>7</v>
      </c>
      <c r="B110" t="s">
        <v>181</v>
      </c>
      <c r="D110" t="s">
        <v>231</v>
      </c>
      <c r="F110" s="29"/>
      <c r="G110" s="25"/>
      <c r="H110" s="17">
        <f>Global[[#This Row],[Investment - Identified (US$m)]]+Global[[#This Row],[Investment - Estimated (US$m)]]</f>
        <v>0</v>
      </c>
      <c r="J110" t="s">
        <v>136</v>
      </c>
      <c r="K110" t="s">
        <v>845</v>
      </c>
      <c r="L110" t="s">
        <v>313</v>
      </c>
      <c r="N110" s="7">
        <v>2025</v>
      </c>
      <c r="O110" s="11">
        <v>45413</v>
      </c>
      <c r="P110" t="s">
        <v>383</v>
      </c>
    </row>
    <row r="111" spans="1:16" x14ac:dyDescent="0.2">
      <c r="A111" t="s">
        <v>7</v>
      </c>
      <c r="B111" t="s">
        <v>182</v>
      </c>
      <c r="F111" s="29"/>
      <c r="G111" s="25"/>
      <c r="H111" s="17">
        <f>Global[[#This Row],[Investment - Identified (US$m)]]+Global[[#This Row],[Investment - Estimated (US$m)]]</f>
        <v>0</v>
      </c>
      <c r="J111" t="s">
        <v>136</v>
      </c>
      <c r="K111" t="s">
        <v>845</v>
      </c>
      <c r="L111" t="s">
        <v>315</v>
      </c>
      <c r="N111" s="7" t="s">
        <v>55</v>
      </c>
      <c r="O111" s="11">
        <v>45901</v>
      </c>
      <c r="P111" s="6" t="s">
        <v>384</v>
      </c>
    </row>
    <row r="112" spans="1:16" x14ac:dyDescent="0.2">
      <c r="A112" t="s">
        <v>7</v>
      </c>
      <c r="B112" t="s">
        <v>183</v>
      </c>
      <c r="D112" t="s">
        <v>55</v>
      </c>
      <c r="F112" s="29">
        <v>150</v>
      </c>
      <c r="G112" s="25"/>
      <c r="H112" s="17">
        <f>Global[[#This Row],[Investment - Identified (US$m)]]+Global[[#This Row],[Investment - Estimated (US$m)]]</f>
        <v>150</v>
      </c>
      <c r="J112" t="s">
        <v>255</v>
      </c>
      <c r="K112" t="s">
        <v>844</v>
      </c>
      <c r="L112" t="s">
        <v>316</v>
      </c>
      <c r="N112" s="7" t="s">
        <v>55</v>
      </c>
      <c r="O112" s="11">
        <v>45627</v>
      </c>
      <c r="P112" s="6" t="s">
        <v>385</v>
      </c>
    </row>
    <row r="113" spans="1:16" x14ac:dyDescent="0.2">
      <c r="A113" t="s">
        <v>7</v>
      </c>
      <c r="B113" t="s">
        <v>1029</v>
      </c>
      <c r="D113" t="s">
        <v>55</v>
      </c>
      <c r="F113" s="29"/>
      <c r="G113" s="25"/>
      <c r="H113" s="17">
        <f>Global[[#This Row],[Investment - Identified (US$m)]]+Global[[#This Row],[Investment - Estimated (US$m)]]</f>
        <v>0</v>
      </c>
      <c r="I113" t="s">
        <v>814</v>
      </c>
      <c r="J113" t="s">
        <v>249</v>
      </c>
      <c r="K113" t="s">
        <v>844</v>
      </c>
      <c r="L113" t="s">
        <v>317</v>
      </c>
      <c r="M113" t="s">
        <v>21</v>
      </c>
      <c r="N113" s="7">
        <v>2025</v>
      </c>
      <c r="O113" s="11">
        <v>45597</v>
      </c>
      <c r="P113" s="6" t="s">
        <v>386</v>
      </c>
    </row>
    <row r="114" spans="1:16" x14ac:dyDescent="0.2">
      <c r="A114" t="s">
        <v>7</v>
      </c>
      <c r="B114" t="s">
        <v>184</v>
      </c>
      <c r="F114" s="29"/>
      <c r="G114" s="25"/>
      <c r="H114" s="17">
        <f>Global[[#This Row],[Investment - Identified (US$m)]]+Global[[#This Row],[Investment - Estimated (US$m)]]</f>
        <v>0</v>
      </c>
      <c r="I114" t="s">
        <v>804</v>
      </c>
      <c r="J114" t="s">
        <v>139</v>
      </c>
      <c r="K114" t="s">
        <v>845</v>
      </c>
      <c r="L114" t="s">
        <v>295</v>
      </c>
      <c r="N114" s="7" t="s">
        <v>55</v>
      </c>
      <c r="O114" s="11">
        <v>45566</v>
      </c>
      <c r="P114" s="6" t="s">
        <v>387</v>
      </c>
    </row>
    <row r="115" spans="1:16" x14ac:dyDescent="0.2">
      <c r="A115" t="s">
        <v>7</v>
      </c>
      <c r="B115" t="s">
        <v>185</v>
      </c>
      <c r="D115" t="s">
        <v>55</v>
      </c>
      <c r="F115" s="29"/>
      <c r="G115" s="25"/>
      <c r="H115" s="17">
        <f>Global[[#This Row],[Investment - Identified (US$m)]]+Global[[#This Row],[Investment - Estimated (US$m)]]</f>
        <v>0</v>
      </c>
      <c r="I115" t="s">
        <v>815</v>
      </c>
      <c r="J115" t="s">
        <v>71</v>
      </c>
      <c r="K115" t="s">
        <v>844</v>
      </c>
      <c r="L115" t="s">
        <v>318</v>
      </c>
      <c r="N115" s="7">
        <v>2024</v>
      </c>
      <c r="O115" s="11">
        <v>45352</v>
      </c>
      <c r="P115" s="6" t="s">
        <v>388</v>
      </c>
    </row>
    <row r="116" spans="1:16" x14ac:dyDescent="0.2">
      <c r="A116" t="s">
        <v>7</v>
      </c>
      <c r="B116" t="s">
        <v>186</v>
      </c>
      <c r="D116" t="s">
        <v>55</v>
      </c>
      <c r="F116" s="29"/>
      <c r="G116" s="25"/>
      <c r="H116" s="17">
        <f>Global[[#This Row],[Investment - Identified (US$m)]]+Global[[#This Row],[Investment - Estimated (US$m)]]</f>
        <v>0</v>
      </c>
      <c r="J116" t="s">
        <v>71</v>
      </c>
      <c r="K116" t="s">
        <v>844</v>
      </c>
      <c r="L116" t="s">
        <v>319</v>
      </c>
      <c r="N116" s="7" t="s">
        <v>349</v>
      </c>
      <c r="O116" s="11">
        <v>45566</v>
      </c>
      <c r="P116" s="6" t="s">
        <v>389</v>
      </c>
    </row>
    <row r="117" spans="1:16" x14ac:dyDescent="0.2">
      <c r="A117" t="s">
        <v>7</v>
      </c>
      <c r="B117" t="s">
        <v>187</v>
      </c>
      <c r="D117" t="s">
        <v>55</v>
      </c>
      <c r="F117" s="29"/>
      <c r="G117" s="25"/>
      <c r="H117" s="17">
        <f>Global[[#This Row],[Investment - Identified (US$m)]]+Global[[#This Row],[Investment - Estimated (US$m)]]</f>
        <v>0</v>
      </c>
      <c r="J117" t="s">
        <v>71</v>
      </c>
      <c r="K117" t="s">
        <v>844</v>
      </c>
      <c r="L117" t="s">
        <v>320</v>
      </c>
      <c r="N117" s="7">
        <v>2023</v>
      </c>
      <c r="O117" s="11">
        <v>45170</v>
      </c>
      <c r="P117" s="6" t="s">
        <v>390</v>
      </c>
    </row>
    <row r="118" spans="1:16" x14ac:dyDescent="0.2">
      <c r="A118" t="s">
        <v>7</v>
      </c>
      <c r="B118" t="s">
        <v>188</v>
      </c>
      <c r="D118" t="s">
        <v>55</v>
      </c>
      <c r="F118" s="29"/>
      <c r="G118" s="25"/>
      <c r="H118" s="17">
        <f>Global[[#This Row],[Investment - Identified (US$m)]]+Global[[#This Row],[Investment - Estimated (US$m)]]</f>
        <v>0</v>
      </c>
      <c r="I118" t="s">
        <v>1030</v>
      </c>
      <c r="J118" t="s">
        <v>249</v>
      </c>
      <c r="K118" t="s">
        <v>844</v>
      </c>
      <c r="L118" t="s">
        <v>321</v>
      </c>
      <c r="M118" t="s">
        <v>21</v>
      </c>
      <c r="N118" s="7">
        <v>2024</v>
      </c>
      <c r="O118" s="11">
        <v>45170</v>
      </c>
      <c r="P118" s="6" t="s">
        <v>391</v>
      </c>
    </row>
    <row r="119" spans="1:16" x14ac:dyDescent="0.2">
      <c r="A119" t="s">
        <v>7</v>
      </c>
      <c r="B119" t="s">
        <v>189</v>
      </c>
      <c r="D119" t="s">
        <v>55</v>
      </c>
      <c r="F119" s="29">
        <v>115</v>
      </c>
      <c r="G119" s="25"/>
      <c r="H119" s="17">
        <f>Global[[#This Row],[Investment - Identified (US$m)]]+Global[[#This Row],[Investment - Estimated (US$m)]]</f>
        <v>115</v>
      </c>
      <c r="I119" t="s">
        <v>816</v>
      </c>
      <c r="J119" t="s">
        <v>537</v>
      </c>
      <c r="K119" t="s">
        <v>30</v>
      </c>
      <c r="L119" t="s">
        <v>322</v>
      </c>
      <c r="N119" s="7">
        <v>2025</v>
      </c>
      <c r="O119" s="11">
        <v>45778</v>
      </c>
      <c r="P119" s="6" t="s">
        <v>392</v>
      </c>
    </row>
    <row r="120" spans="1:16" x14ac:dyDescent="0.2">
      <c r="A120" t="s">
        <v>7</v>
      </c>
      <c r="B120" t="s">
        <v>189</v>
      </c>
      <c r="D120" t="s">
        <v>55</v>
      </c>
      <c r="F120" s="29">
        <f>650*EURUSD</f>
        <v>721.50000000000011</v>
      </c>
      <c r="G120" s="25"/>
      <c r="H120" s="17">
        <f>Global[[#This Row],[Investment - Identified (US$m)]]+Global[[#This Row],[Investment - Estimated (US$m)]]</f>
        <v>721.50000000000011</v>
      </c>
      <c r="I120" t="s">
        <v>816</v>
      </c>
      <c r="J120" t="s">
        <v>537</v>
      </c>
      <c r="K120" t="s">
        <v>30</v>
      </c>
      <c r="L120" t="s">
        <v>323</v>
      </c>
      <c r="N120" s="7" t="s">
        <v>55</v>
      </c>
      <c r="O120" s="11">
        <v>45778</v>
      </c>
      <c r="P120" s="6" t="s">
        <v>393</v>
      </c>
    </row>
    <row r="121" spans="1:16" x14ac:dyDescent="0.2">
      <c r="A121" t="s">
        <v>7</v>
      </c>
      <c r="B121" t="s">
        <v>190</v>
      </c>
      <c r="D121" t="s">
        <v>55</v>
      </c>
      <c r="F121" s="29"/>
      <c r="G121" s="25"/>
      <c r="H121" s="17">
        <f>Global[[#This Row],[Investment - Identified (US$m)]]+Global[[#This Row],[Investment - Estimated (US$m)]]</f>
        <v>0</v>
      </c>
      <c r="I121" t="s">
        <v>814</v>
      </c>
      <c r="J121" t="s">
        <v>249</v>
      </c>
      <c r="K121" t="s">
        <v>844</v>
      </c>
      <c r="L121" t="s">
        <v>1031</v>
      </c>
      <c r="M121" t="s">
        <v>21</v>
      </c>
      <c r="N121" s="7">
        <v>2023</v>
      </c>
      <c r="O121" s="11">
        <v>45505</v>
      </c>
      <c r="P121" s="6" t="s">
        <v>394</v>
      </c>
    </row>
    <row r="122" spans="1:16" x14ac:dyDescent="0.2">
      <c r="A122" t="s">
        <v>7</v>
      </c>
      <c r="B122" t="s">
        <v>191</v>
      </c>
      <c r="D122" t="s">
        <v>55</v>
      </c>
      <c r="F122" s="29">
        <v>420</v>
      </c>
      <c r="G122" s="25"/>
      <c r="H122" s="17">
        <f>Global[[#This Row],[Investment - Identified (US$m)]]+Global[[#This Row],[Investment - Estimated (US$m)]]</f>
        <v>420</v>
      </c>
      <c r="J122" t="s">
        <v>254</v>
      </c>
      <c r="K122" t="s">
        <v>844</v>
      </c>
      <c r="L122" t="s">
        <v>324</v>
      </c>
      <c r="N122" s="7">
        <v>2025</v>
      </c>
      <c r="O122" s="11">
        <v>45383</v>
      </c>
      <c r="P122" s="6" t="s">
        <v>395</v>
      </c>
    </row>
    <row r="123" spans="1:16" x14ac:dyDescent="0.2">
      <c r="A123" t="s">
        <v>7</v>
      </c>
      <c r="B123" t="s">
        <v>191</v>
      </c>
      <c r="D123" t="s">
        <v>232</v>
      </c>
      <c r="F123" s="29">
        <v>700</v>
      </c>
      <c r="G123" s="25"/>
      <c r="H123" s="17">
        <f>Global[[#This Row],[Investment - Identified (US$m)]]+Global[[#This Row],[Investment - Estimated (US$m)]]</f>
        <v>700</v>
      </c>
      <c r="I123" t="s">
        <v>817</v>
      </c>
      <c r="J123" t="s">
        <v>80</v>
      </c>
      <c r="K123" t="s">
        <v>30</v>
      </c>
      <c r="L123" t="s">
        <v>325</v>
      </c>
      <c r="N123" s="7">
        <v>2026</v>
      </c>
      <c r="O123" s="11">
        <v>45748</v>
      </c>
      <c r="P123" s="6" t="s">
        <v>396</v>
      </c>
    </row>
    <row r="124" spans="1:16" x14ac:dyDescent="0.2">
      <c r="A124" t="s">
        <v>7</v>
      </c>
      <c r="B124" t="s">
        <v>191</v>
      </c>
      <c r="D124" t="s">
        <v>55</v>
      </c>
      <c r="F124" s="29"/>
      <c r="G124" s="25"/>
      <c r="H124" s="17">
        <f>Global[[#This Row],[Investment - Identified (US$m)]]+Global[[#This Row],[Investment - Estimated (US$m)]]</f>
        <v>0</v>
      </c>
      <c r="I124" t="s">
        <v>819</v>
      </c>
      <c r="J124" t="s">
        <v>818</v>
      </c>
      <c r="K124" t="s">
        <v>30</v>
      </c>
      <c r="L124" t="s">
        <v>326</v>
      </c>
      <c r="N124" s="7">
        <v>2024</v>
      </c>
      <c r="O124" s="11"/>
      <c r="P124" s="6"/>
    </row>
    <row r="125" spans="1:16" x14ac:dyDescent="0.2">
      <c r="A125" t="s">
        <v>7</v>
      </c>
      <c r="B125" t="s">
        <v>192</v>
      </c>
      <c r="D125" t="s">
        <v>233</v>
      </c>
      <c r="F125" s="29"/>
      <c r="G125" s="25"/>
      <c r="H125" s="17">
        <f>Global[[#This Row],[Investment - Identified (US$m)]]+Global[[#This Row],[Investment - Estimated (US$m)]]</f>
        <v>0</v>
      </c>
      <c r="J125" t="s">
        <v>80</v>
      </c>
      <c r="K125" t="s">
        <v>30</v>
      </c>
      <c r="L125" t="s">
        <v>327</v>
      </c>
      <c r="O125" s="11">
        <v>45809</v>
      </c>
      <c r="P125" s="6" t="s">
        <v>397</v>
      </c>
    </row>
    <row r="126" spans="1:16" x14ac:dyDescent="0.2">
      <c r="A126" t="s">
        <v>7</v>
      </c>
      <c r="B126" t="s">
        <v>192</v>
      </c>
      <c r="F126" s="29">
        <v>700</v>
      </c>
      <c r="G126" s="25"/>
      <c r="H126" s="17">
        <f>Global[[#This Row],[Investment - Identified (US$m)]]+Global[[#This Row],[Investment - Estimated (US$m)]]</f>
        <v>700</v>
      </c>
      <c r="J126" t="s">
        <v>139</v>
      </c>
      <c r="K126" t="s">
        <v>845</v>
      </c>
      <c r="L126" t="s">
        <v>328</v>
      </c>
      <c r="N126" s="7">
        <v>2025</v>
      </c>
      <c r="O126" s="11">
        <v>45809</v>
      </c>
      <c r="P126" s="6" t="s">
        <v>397</v>
      </c>
    </row>
    <row r="127" spans="1:16" x14ac:dyDescent="0.2">
      <c r="A127" t="s">
        <v>7</v>
      </c>
      <c r="B127" t="s">
        <v>192</v>
      </c>
      <c r="F127" s="29">
        <v>360</v>
      </c>
      <c r="G127" s="25"/>
      <c r="H127" s="17">
        <f>Global[[#This Row],[Investment - Identified (US$m)]]+Global[[#This Row],[Investment - Estimated (US$m)]]</f>
        <v>360</v>
      </c>
      <c r="J127" t="s">
        <v>251</v>
      </c>
      <c r="K127" t="s">
        <v>965</v>
      </c>
      <c r="L127" t="s">
        <v>329</v>
      </c>
      <c r="O127" s="11">
        <v>45778</v>
      </c>
      <c r="P127" s="6" t="s">
        <v>398</v>
      </c>
    </row>
    <row r="128" spans="1:16" x14ac:dyDescent="0.2">
      <c r="A128" t="s">
        <v>7</v>
      </c>
      <c r="B128" t="s">
        <v>192</v>
      </c>
      <c r="D128" t="s">
        <v>234</v>
      </c>
      <c r="F128" s="29">
        <v>450</v>
      </c>
      <c r="G128" s="25"/>
      <c r="H128" s="17">
        <f>Global[[#This Row],[Investment - Identified (US$m)]]+Global[[#This Row],[Investment - Estimated (US$m)]]</f>
        <v>450</v>
      </c>
      <c r="I128" t="s">
        <v>820</v>
      </c>
      <c r="J128" t="s">
        <v>256</v>
      </c>
      <c r="K128" t="s">
        <v>844</v>
      </c>
      <c r="L128" t="s">
        <v>330</v>
      </c>
      <c r="O128" s="11">
        <v>45352</v>
      </c>
      <c r="P128" s="6" t="s">
        <v>372</v>
      </c>
    </row>
    <row r="129" spans="1:17" x14ac:dyDescent="0.2">
      <c r="A129" t="s">
        <v>7</v>
      </c>
      <c r="B129" t="s">
        <v>193</v>
      </c>
      <c r="D129" t="s">
        <v>55</v>
      </c>
      <c r="F129" s="29"/>
      <c r="G129" s="25"/>
      <c r="H129" s="17">
        <f>Global[[#This Row],[Investment - Identified (US$m)]]+Global[[#This Row],[Investment - Estimated (US$m)]]</f>
        <v>0</v>
      </c>
      <c r="I129" t="s">
        <v>821</v>
      </c>
      <c r="J129" t="s">
        <v>529</v>
      </c>
      <c r="K129" t="s">
        <v>28</v>
      </c>
      <c r="L129" t="s">
        <v>331</v>
      </c>
      <c r="N129" s="7">
        <v>2025</v>
      </c>
      <c r="O129" s="11">
        <v>45717</v>
      </c>
      <c r="P129" s="6" t="s">
        <v>399</v>
      </c>
    </row>
    <row r="130" spans="1:17" x14ac:dyDescent="0.2">
      <c r="A130" t="s">
        <v>7</v>
      </c>
      <c r="B130" t="s">
        <v>194</v>
      </c>
      <c r="D130" t="s">
        <v>55</v>
      </c>
      <c r="F130" s="29"/>
      <c r="G130" s="25"/>
      <c r="H130" s="17">
        <f>Global[[#This Row],[Investment - Identified (US$m)]]+Global[[#This Row],[Investment - Estimated (US$m)]]</f>
        <v>0</v>
      </c>
      <c r="I130" t="s">
        <v>1032</v>
      </c>
      <c r="J130" t="s">
        <v>249</v>
      </c>
      <c r="K130" t="s">
        <v>844</v>
      </c>
      <c r="L130" t="s">
        <v>332</v>
      </c>
      <c r="M130" t="s">
        <v>21</v>
      </c>
      <c r="N130" s="7" t="s">
        <v>55</v>
      </c>
      <c r="O130" s="11">
        <v>45839</v>
      </c>
      <c r="P130" s="6" t="s">
        <v>400</v>
      </c>
    </row>
    <row r="131" spans="1:17" x14ac:dyDescent="0.2">
      <c r="A131" t="s">
        <v>7</v>
      </c>
      <c r="B131" t="s">
        <v>195</v>
      </c>
      <c r="D131" t="s">
        <v>55</v>
      </c>
      <c r="F131" s="29">
        <v>200</v>
      </c>
      <c r="G131" s="25"/>
      <c r="H131" s="17">
        <f>Global[[#This Row],[Investment - Identified (US$m)]]+Global[[#This Row],[Investment - Estimated (US$m)]]</f>
        <v>200</v>
      </c>
      <c r="J131" t="s">
        <v>69</v>
      </c>
      <c r="K131" t="s">
        <v>965</v>
      </c>
      <c r="L131" t="s">
        <v>333</v>
      </c>
      <c r="N131" s="7" t="s">
        <v>350</v>
      </c>
      <c r="O131" s="11">
        <v>45809</v>
      </c>
      <c r="P131" s="6" t="s">
        <v>401</v>
      </c>
    </row>
    <row r="132" spans="1:17" x14ac:dyDescent="0.2">
      <c r="A132" t="s">
        <v>7</v>
      </c>
      <c r="B132" t="s">
        <v>196</v>
      </c>
      <c r="D132" t="s">
        <v>235</v>
      </c>
      <c r="F132" s="29"/>
      <c r="G132" s="25"/>
      <c r="H132" s="17">
        <f>Global[[#This Row],[Investment - Identified (US$m)]]+Global[[#This Row],[Investment - Estimated (US$m)]]</f>
        <v>0</v>
      </c>
      <c r="J132" t="s">
        <v>136</v>
      </c>
      <c r="K132" t="s">
        <v>845</v>
      </c>
      <c r="L132" t="s">
        <v>334</v>
      </c>
      <c r="O132" s="11">
        <v>45901</v>
      </c>
      <c r="P132" s="6" t="s">
        <v>402</v>
      </c>
    </row>
    <row r="133" spans="1:17" x14ac:dyDescent="0.2">
      <c r="A133" t="s">
        <v>7</v>
      </c>
      <c r="B133" t="s">
        <v>197</v>
      </c>
      <c r="D133" t="s">
        <v>55</v>
      </c>
      <c r="F133" s="29"/>
      <c r="G133" s="25"/>
      <c r="H133" s="17">
        <f>Global[[#This Row],[Investment - Identified (US$m)]]+Global[[#This Row],[Investment - Estimated (US$m)]]</f>
        <v>0</v>
      </c>
      <c r="J133" t="s">
        <v>249</v>
      </c>
      <c r="K133" t="s">
        <v>844</v>
      </c>
      <c r="L133" t="s">
        <v>335</v>
      </c>
      <c r="M133" t="s">
        <v>21</v>
      </c>
      <c r="N133" s="7">
        <v>2025</v>
      </c>
      <c r="O133" s="11">
        <v>45627</v>
      </c>
      <c r="P133" s="6"/>
    </row>
    <row r="134" spans="1:17" x14ac:dyDescent="0.2">
      <c r="A134" t="s">
        <v>7</v>
      </c>
      <c r="B134" t="s">
        <v>197</v>
      </c>
      <c r="D134" t="s">
        <v>55</v>
      </c>
      <c r="F134" s="29">
        <v>150</v>
      </c>
      <c r="G134" s="25"/>
      <c r="H134" s="17">
        <f>Global[[#This Row],[Investment - Identified (US$m)]]+Global[[#This Row],[Investment - Estimated (US$m)]]</f>
        <v>150</v>
      </c>
      <c r="I134" t="s">
        <v>1037</v>
      </c>
      <c r="J134" t="s">
        <v>69</v>
      </c>
      <c r="K134" t="s">
        <v>965</v>
      </c>
      <c r="L134" t="s">
        <v>1035</v>
      </c>
      <c r="M134" t="s">
        <v>21</v>
      </c>
      <c r="N134" s="7">
        <v>2025</v>
      </c>
      <c r="O134" s="11">
        <v>45627</v>
      </c>
      <c r="P134" s="6" t="s">
        <v>403</v>
      </c>
      <c r="Q134" s="6" t="s">
        <v>1036</v>
      </c>
    </row>
    <row r="135" spans="1:17" x14ac:dyDescent="0.2">
      <c r="A135" t="s">
        <v>7</v>
      </c>
      <c r="B135" t="s">
        <v>198</v>
      </c>
      <c r="F135" s="29"/>
      <c r="G135" s="25"/>
      <c r="H135" s="17">
        <f>Global[[#This Row],[Investment - Identified (US$m)]]+Global[[#This Row],[Investment - Estimated (US$m)]]</f>
        <v>0</v>
      </c>
      <c r="I135" t="s">
        <v>822</v>
      </c>
      <c r="J135" t="s">
        <v>256</v>
      </c>
      <c r="K135" t="s">
        <v>844</v>
      </c>
      <c r="L135" t="s">
        <v>336</v>
      </c>
      <c r="N135" s="7">
        <v>2024</v>
      </c>
      <c r="O135" s="11">
        <v>45352</v>
      </c>
      <c r="P135" s="6" t="s">
        <v>404</v>
      </c>
    </row>
    <row r="136" spans="1:17" x14ac:dyDescent="0.2">
      <c r="A136" t="s">
        <v>7</v>
      </c>
      <c r="B136" t="s">
        <v>199</v>
      </c>
      <c r="F136" s="29">
        <v>10</v>
      </c>
      <c r="G136" s="25"/>
      <c r="H136" s="17">
        <f>Global[[#This Row],[Investment - Identified (US$m)]]+Global[[#This Row],[Investment - Estimated (US$m)]]</f>
        <v>10</v>
      </c>
      <c r="J136" t="s">
        <v>256</v>
      </c>
      <c r="K136" t="s">
        <v>844</v>
      </c>
      <c r="L136" t="s">
        <v>336</v>
      </c>
      <c r="N136" s="7">
        <v>2023</v>
      </c>
      <c r="O136" s="11">
        <v>44958</v>
      </c>
      <c r="P136" s="6"/>
    </row>
    <row r="137" spans="1:17" x14ac:dyDescent="0.2">
      <c r="A137" t="s">
        <v>8</v>
      </c>
      <c r="B137" t="s">
        <v>42</v>
      </c>
      <c r="D137" t="s">
        <v>55</v>
      </c>
      <c r="F137" s="29">
        <v>1700</v>
      </c>
      <c r="G137" s="25"/>
      <c r="H137" s="17">
        <f>Global[[#This Row],[Investment - Identified (US$m)]]+Global[[#This Row],[Investment - Estimated (US$m)]]</f>
        <v>1700</v>
      </c>
      <c r="J137" t="s">
        <v>257</v>
      </c>
      <c r="K137" t="s">
        <v>965</v>
      </c>
      <c r="L137" t="s">
        <v>337</v>
      </c>
      <c r="M137" t="s">
        <v>21</v>
      </c>
      <c r="N137" s="7">
        <v>2024</v>
      </c>
      <c r="O137" s="14">
        <v>45444</v>
      </c>
    </row>
    <row r="138" spans="1:17" x14ac:dyDescent="0.2">
      <c r="A138" t="s">
        <v>8</v>
      </c>
      <c r="B138" t="s">
        <v>42</v>
      </c>
      <c r="D138" t="s">
        <v>55</v>
      </c>
      <c r="F138" s="29">
        <v>3000</v>
      </c>
      <c r="G138" s="25"/>
      <c r="H138" s="17">
        <f>Global[[#This Row],[Investment - Identified (US$m)]]+Global[[#This Row],[Investment - Estimated (US$m)]]</f>
        <v>3000</v>
      </c>
      <c r="I138" t="s">
        <v>823</v>
      </c>
      <c r="J138" t="s">
        <v>244</v>
      </c>
      <c r="K138" t="s">
        <v>965</v>
      </c>
      <c r="L138" t="s">
        <v>338</v>
      </c>
      <c r="N138" s="7">
        <v>2024</v>
      </c>
      <c r="O138" s="14">
        <v>45748</v>
      </c>
      <c r="P138" s="6" t="s">
        <v>405</v>
      </c>
    </row>
    <row r="139" spans="1:17" x14ac:dyDescent="0.2">
      <c r="A139" t="s">
        <v>8</v>
      </c>
      <c r="B139" t="s">
        <v>42</v>
      </c>
      <c r="D139" t="s">
        <v>55</v>
      </c>
      <c r="F139" s="29"/>
      <c r="G139" s="25">
        <v>1670</v>
      </c>
      <c r="H139" s="17">
        <f>Global[[#This Row],[Investment - Identified (US$m)]]+Global[[#This Row],[Investment - Estimated (US$m)]]</f>
        <v>1670</v>
      </c>
      <c r="I139" t="s">
        <v>1033</v>
      </c>
      <c r="J139" t="s">
        <v>249</v>
      </c>
      <c r="K139" t="s">
        <v>844</v>
      </c>
      <c r="L139" t="s">
        <v>1074</v>
      </c>
      <c r="M139" t="s">
        <v>24</v>
      </c>
      <c r="N139" s="7">
        <v>2026</v>
      </c>
      <c r="O139" s="14">
        <v>46054</v>
      </c>
      <c r="P139" s="6" t="s">
        <v>1075</v>
      </c>
    </row>
    <row r="140" spans="1:17" x14ac:dyDescent="0.2">
      <c r="A140" t="s">
        <v>8</v>
      </c>
      <c r="B140" t="s">
        <v>43</v>
      </c>
      <c r="D140" t="s">
        <v>236</v>
      </c>
      <c r="F140" s="29">
        <v>1950</v>
      </c>
      <c r="G140" s="25"/>
      <c r="H140" s="17">
        <f>Global[[#This Row],[Investment - Identified (US$m)]]+Global[[#This Row],[Investment - Estimated (US$m)]]</f>
        <v>1950</v>
      </c>
      <c r="I140" t="s">
        <v>942</v>
      </c>
      <c r="J140" t="s">
        <v>258</v>
      </c>
      <c r="K140" t="s">
        <v>31</v>
      </c>
      <c r="L140" t="s">
        <v>339</v>
      </c>
      <c r="M140" t="s">
        <v>21</v>
      </c>
      <c r="N140" s="7">
        <v>2025</v>
      </c>
      <c r="O140" s="14">
        <v>45505</v>
      </c>
    </row>
    <row r="141" spans="1:17" x14ac:dyDescent="0.2">
      <c r="A141" t="s">
        <v>8</v>
      </c>
      <c r="B141" t="s">
        <v>43</v>
      </c>
      <c r="D141" t="s">
        <v>1014</v>
      </c>
      <c r="E141" t="s">
        <v>25</v>
      </c>
      <c r="F141" s="29"/>
      <c r="G141" s="25">
        <v>1200</v>
      </c>
      <c r="H141" s="17">
        <f>Global[[#This Row],[Investment - Identified (US$m)]]+Global[[#This Row],[Investment - Estimated (US$m)]]</f>
        <v>1200</v>
      </c>
      <c r="I141" t="s">
        <v>1071</v>
      </c>
      <c r="J141" t="s">
        <v>251</v>
      </c>
      <c r="K141" t="s">
        <v>965</v>
      </c>
      <c r="L141" t="s">
        <v>1072</v>
      </c>
      <c r="M141" t="s">
        <v>21</v>
      </c>
      <c r="N141" s="7">
        <v>2025</v>
      </c>
      <c r="O141" s="14">
        <v>45901</v>
      </c>
      <c r="P141" s="6" t="s">
        <v>1073</v>
      </c>
    </row>
    <row r="142" spans="1:17" x14ac:dyDescent="0.2">
      <c r="A142" t="s">
        <v>8</v>
      </c>
      <c r="B142" t="s">
        <v>162</v>
      </c>
      <c r="D142" t="s">
        <v>55</v>
      </c>
      <c r="F142" s="29">
        <v>560</v>
      </c>
      <c r="G142" s="25"/>
      <c r="H142" s="17">
        <f>Global[[#This Row],[Investment - Identified (US$m)]]+Global[[#This Row],[Investment - Estimated (US$m)]]</f>
        <v>560</v>
      </c>
      <c r="I142" t="s">
        <v>824</v>
      </c>
      <c r="J142" t="s">
        <v>245</v>
      </c>
      <c r="K142" t="s">
        <v>29</v>
      </c>
      <c r="L142" t="s">
        <v>340</v>
      </c>
      <c r="M142" t="s">
        <v>21</v>
      </c>
      <c r="N142" s="7">
        <v>2025</v>
      </c>
      <c r="O142" s="14">
        <v>45717</v>
      </c>
      <c r="P142" s="6" t="s">
        <v>406</v>
      </c>
    </row>
    <row r="143" spans="1:17" x14ac:dyDescent="0.2">
      <c r="A143" t="s">
        <v>8</v>
      </c>
      <c r="B143" t="s">
        <v>169</v>
      </c>
      <c r="D143" t="s">
        <v>236</v>
      </c>
      <c r="F143" s="29"/>
      <c r="G143" s="25">
        <f>78*2</f>
        <v>156</v>
      </c>
      <c r="H143" s="17">
        <f>Global[[#This Row],[Investment - Identified (US$m)]]+Global[[#This Row],[Investment - Estimated (US$m)]]</f>
        <v>156</v>
      </c>
      <c r="I143" t="s">
        <v>1047</v>
      </c>
      <c r="J143" t="s">
        <v>825</v>
      </c>
      <c r="K143" t="s">
        <v>844</v>
      </c>
      <c r="L143" t="s">
        <v>341</v>
      </c>
      <c r="M143" t="s">
        <v>21</v>
      </c>
      <c r="N143" s="7">
        <v>2025</v>
      </c>
      <c r="O143" s="14">
        <v>45505</v>
      </c>
    </row>
    <row r="144" spans="1:17" x14ac:dyDescent="0.2">
      <c r="A144" t="s">
        <v>8</v>
      </c>
      <c r="B144" t="s">
        <v>1046</v>
      </c>
      <c r="C144" t="s">
        <v>25</v>
      </c>
      <c r="D144" t="s">
        <v>1044</v>
      </c>
      <c r="E144" t="s">
        <v>1045</v>
      </c>
      <c r="F144" s="29">
        <v>323</v>
      </c>
      <c r="G144" s="25"/>
      <c r="H144" s="17">
        <f>Global[[#This Row],[Investment - Identified (US$m)]]+Global[[#This Row],[Investment - Estimated (US$m)]]</f>
        <v>323</v>
      </c>
      <c r="I144" t="s">
        <v>1041</v>
      </c>
      <c r="J144" t="s">
        <v>825</v>
      </c>
      <c r="K144" t="s">
        <v>844</v>
      </c>
      <c r="L144" t="s">
        <v>1042</v>
      </c>
      <c r="M144" t="s">
        <v>20</v>
      </c>
      <c r="N144" s="7">
        <v>2027</v>
      </c>
      <c r="O144" s="14">
        <v>46023</v>
      </c>
      <c r="P144" s="6" t="s">
        <v>1043</v>
      </c>
    </row>
    <row r="145" spans="1:17" x14ac:dyDescent="0.2">
      <c r="A145" t="s">
        <v>8</v>
      </c>
      <c r="B145" t="s">
        <v>1046</v>
      </c>
      <c r="C145" t="s">
        <v>25</v>
      </c>
      <c r="D145" t="s">
        <v>1051</v>
      </c>
      <c r="E145" t="s">
        <v>1052</v>
      </c>
      <c r="F145" s="29">
        <v>647</v>
      </c>
      <c r="G145" s="25"/>
      <c r="H145" s="17">
        <f>Global[[#This Row],[Investment - Identified (US$m)]]+Global[[#This Row],[Investment - Estimated (US$m)]]</f>
        <v>647</v>
      </c>
      <c r="I145" t="s">
        <v>1048</v>
      </c>
      <c r="J145" t="s">
        <v>825</v>
      </c>
      <c r="K145" t="s">
        <v>844</v>
      </c>
      <c r="L145" t="s">
        <v>1049</v>
      </c>
      <c r="M145" t="s">
        <v>18</v>
      </c>
      <c r="N145" s="7">
        <v>2032</v>
      </c>
      <c r="O145" s="14">
        <v>46023</v>
      </c>
      <c r="P145" s="6" t="s">
        <v>1050</v>
      </c>
    </row>
    <row r="146" spans="1:17" x14ac:dyDescent="0.2">
      <c r="A146" t="s">
        <v>8</v>
      </c>
      <c r="B146" t="s">
        <v>200</v>
      </c>
      <c r="F146" s="29">
        <v>996</v>
      </c>
      <c r="G146" s="25"/>
      <c r="H146" s="17">
        <f>Global[[#This Row],[Investment - Identified (US$m)]]+Global[[#This Row],[Investment - Estimated (US$m)]]</f>
        <v>996</v>
      </c>
      <c r="J146" t="s">
        <v>259</v>
      </c>
      <c r="K146" t="s">
        <v>844</v>
      </c>
      <c r="L146" t="s">
        <v>342</v>
      </c>
      <c r="O146" s="14">
        <v>45689</v>
      </c>
      <c r="P146" s="6" t="s">
        <v>407</v>
      </c>
    </row>
    <row r="147" spans="1:17" x14ac:dyDescent="0.2">
      <c r="A147" t="s">
        <v>8</v>
      </c>
      <c r="B147" t="s">
        <v>172</v>
      </c>
      <c r="D147" t="s">
        <v>55</v>
      </c>
      <c r="F147" s="29"/>
      <c r="G147" s="25"/>
      <c r="H147" s="17">
        <f>Global[[#This Row],[Investment - Identified (US$m)]]+Global[[#This Row],[Investment - Estimated (US$m)]]</f>
        <v>0</v>
      </c>
      <c r="I147" t="s">
        <v>827</v>
      </c>
      <c r="J147" t="s">
        <v>826</v>
      </c>
      <c r="K147" t="s">
        <v>965</v>
      </c>
      <c r="L147" t="s">
        <v>343</v>
      </c>
      <c r="M147" t="s">
        <v>23</v>
      </c>
      <c r="N147" s="7" t="s">
        <v>351</v>
      </c>
      <c r="O147" s="14">
        <v>45566</v>
      </c>
      <c r="P147" t="s">
        <v>408</v>
      </c>
    </row>
    <row r="148" spans="1:17" x14ac:dyDescent="0.2">
      <c r="A148" t="s">
        <v>8</v>
      </c>
      <c r="B148" t="s">
        <v>943</v>
      </c>
      <c r="D148" t="s">
        <v>947</v>
      </c>
      <c r="F148" s="29">
        <v>5200</v>
      </c>
      <c r="G148" s="25"/>
      <c r="H148" s="17">
        <f>Global[[#This Row],[Investment - Identified (US$m)]]+Global[[#This Row],[Investment - Estimated (US$m)]]</f>
        <v>5200</v>
      </c>
      <c r="I148" t="s">
        <v>944</v>
      </c>
      <c r="J148" t="s">
        <v>945</v>
      </c>
      <c r="K148" t="s">
        <v>965</v>
      </c>
      <c r="L148" t="s">
        <v>946</v>
      </c>
      <c r="M148" t="s">
        <v>20</v>
      </c>
      <c r="N148" s="7">
        <v>2026</v>
      </c>
      <c r="O148" s="14">
        <v>45261</v>
      </c>
      <c r="P148" s="6" t="s">
        <v>948</v>
      </c>
    </row>
    <row r="149" spans="1:17" x14ac:dyDescent="0.2">
      <c r="A149" t="s">
        <v>8</v>
      </c>
      <c r="B149" t="s">
        <v>1053</v>
      </c>
      <c r="C149" t="s">
        <v>25</v>
      </c>
      <c r="D149" t="s">
        <v>1054</v>
      </c>
      <c r="F149" s="29">
        <v>902</v>
      </c>
      <c r="G149" s="25"/>
      <c r="H149" s="17">
        <f>Global[[#This Row],[Investment - Identified (US$m)]]+Global[[#This Row],[Investment - Estimated (US$m)]]</f>
        <v>902</v>
      </c>
      <c r="J149" t="s">
        <v>75</v>
      </c>
      <c r="K149" t="s">
        <v>29</v>
      </c>
      <c r="L149" t="s">
        <v>1055</v>
      </c>
      <c r="M149" t="s">
        <v>1056</v>
      </c>
      <c r="N149" s="7">
        <v>2026</v>
      </c>
      <c r="O149" s="14">
        <v>46023</v>
      </c>
      <c r="P149" s="6" t="s">
        <v>1057</v>
      </c>
    </row>
    <row r="150" spans="1:17" x14ac:dyDescent="0.2">
      <c r="A150" t="s">
        <v>9</v>
      </c>
      <c r="B150" t="s">
        <v>201</v>
      </c>
      <c r="C150" t="s">
        <v>26</v>
      </c>
      <c r="D150" t="s">
        <v>1014</v>
      </c>
      <c r="F150" s="29">
        <v>3100</v>
      </c>
      <c r="G150" s="25"/>
      <c r="H150" s="17">
        <f>Global[[#This Row],[Investment - Identified (US$m)]]+Global[[#This Row],[Investment - Estimated (US$m)]]</f>
        <v>3100</v>
      </c>
      <c r="J150" t="s">
        <v>245</v>
      </c>
      <c r="K150" t="s">
        <v>29</v>
      </c>
      <c r="L150" t="s">
        <v>1013</v>
      </c>
      <c r="M150" t="s">
        <v>21</v>
      </c>
      <c r="N150" s="7">
        <v>2024</v>
      </c>
      <c r="O150" s="11">
        <v>45444</v>
      </c>
      <c r="P150" s="6" t="s">
        <v>409</v>
      </c>
    </row>
    <row r="151" spans="1:17" x14ac:dyDescent="0.2">
      <c r="A151" t="s">
        <v>9</v>
      </c>
      <c r="B151" t="s">
        <v>202</v>
      </c>
      <c r="D151" t="s">
        <v>55</v>
      </c>
      <c r="F151" s="29">
        <v>925</v>
      </c>
      <c r="G151" s="25"/>
      <c r="H151" s="17">
        <f>Global[[#This Row],[Investment - Identified (US$m)]]+Global[[#This Row],[Investment - Estimated (US$m)]]</f>
        <v>925</v>
      </c>
      <c r="J151" t="s">
        <v>72</v>
      </c>
      <c r="K151" t="s">
        <v>844</v>
      </c>
      <c r="L151" t="s">
        <v>344</v>
      </c>
      <c r="N151" s="7">
        <v>2023</v>
      </c>
      <c r="O151" s="11">
        <v>45047</v>
      </c>
    </row>
    <row r="152" spans="1:17" x14ac:dyDescent="0.2">
      <c r="A152" t="s">
        <v>9</v>
      </c>
      <c r="B152" t="s">
        <v>202</v>
      </c>
      <c r="D152" t="s">
        <v>55</v>
      </c>
      <c r="F152" s="29">
        <v>3300</v>
      </c>
      <c r="G152" s="25"/>
      <c r="H152" s="17">
        <f>Global[[#This Row],[Investment - Identified (US$m)]]+Global[[#This Row],[Investment - Estimated (US$m)]]</f>
        <v>3300</v>
      </c>
      <c r="J152" t="s">
        <v>75</v>
      </c>
      <c r="K152" t="s">
        <v>29</v>
      </c>
      <c r="L152" t="s">
        <v>345</v>
      </c>
      <c r="N152" s="7">
        <v>2029</v>
      </c>
      <c r="O152" s="11">
        <v>45839</v>
      </c>
      <c r="P152" s="6" t="s">
        <v>410</v>
      </c>
    </row>
    <row r="153" spans="1:17" x14ac:dyDescent="0.2">
      <c r="A153" t="s">
        <v>9</v>
      </c>
      <c r="B153" t="s">
        <v>201</v>
      </c>
      <c r="D153" t="s">
        <v>237</v>
      </c>
      <c r="F153" s="29"/>
      <c r="G153" s="25">
        <v>600</v>
      </c>
      <c r="H153" s="17">
        <f>Global[[#This Row],[Investment - Identified (US$m)]]+Global[[#This Row],[Investment - Estimated (US$m)]]</f>
        <v>600</v>
      </c>
      <c r="J153" t="s">
        <v>71</v>
      </c>
      <c r="K153" t="s">
        <v>844</v>
      </c>
      <c r="L153" t="s">
        <v>346</v>
      </c>
      <c r="M153" t="s">
        <v>21</v>
      </c>
      <c r="N153" s="7">
        <v>2026</v>
      </c>
      <c r="O153" s="11">
        <v>46054</v>
      </c>
      <c r="P153" s="13" t="s">
        <v>411</v>
      </c>
      <c r="Q153" s="6" t="s">
        <v>1070</v>
      </c>
    </row>
    <row r="154" spans="1:17" x14ac:dyDescent="0.2">
      <c r="A154" t="s">
        <v>9</v>
      </c>
      <c r="B154" t="s">
        <v>201</v>
      </c>
      <c r="C154" t="s">
        <v>25</v>
      </c>
      <c r="D154" t="s">
        <v>1066</v>
      </c>
      <c r="F154" s="29">
        <v>4000</v>
      </c>
      <c r="G154" s="25"/>
      <c r="H154" s="17">
        <f>Global[[#This Row],[Investment - Identified (US$m)]]+Global[[#This Row],[Investment - Estimated (US$m)]]</f>
        <v>4000</v>
      </c>
      <c r="J154" t="s">
        <v>260</v>
      </c>
      <c r="K154" t="s">
        <v>29</v>
      </c>
      <c r="L154" t="s">
        <v>941</v>
      </c>
      <c r="M154" t="s">
        <v>18</v>
      </c>
      <c r="O154" s="11">
        <v>45992</v>
      </c>
      <c r="P154" s="13" t="s">
        <v>412</v>
      </c>
      <c r="Q154" s="6" t="s">
        <v>1065</v>
      </c>
    </row>
    <row r="155" spans="1:17" x14ac:dyDescent="0.2">
      <c r="A155" t="s">
        <v>9</v>
      </c>
      <c r="B155" t="s">
        <v>203</v>
      </c>
      <c r="D155" t="s">
        <v>238</v>
      </c>
      <c r="F155" s="29">
        <v>1500</v>
      </c>
      <c r="G155" s="25"/>
      <c r="H155" s="17">
        <f>Global[[#This Row],[Investment - Identified (US$m)]]+Global[[#This Row],[Investment - Estimated (US$m)]]</f>
        <v>1500</v>
      </c>
      <c r="J155" t="s">
        <v>260</v>
      </c>
      <c r="K155" t="s">
        <v>29</v>
      </c>
      <c r="L155" t="s">
        <v>347</v>
      </c>
      <c r="M155" t="s">
        <v>18</v>
      </c>
      <c r="N155" s="7" t="s">
        <v>55</v>
      </c>
      <c r="O155" s="12">
        <v>45962</v>
      </c>
      <c r="P155" s="6" t="s">
        <v>413</v>
      </c>
    </row>
    <row r="156" spans="1:17" x14ac:dyDescent="0.2">
      <c r="A156" t="s">
        <v>10</v>
      </c>
      <c r="B156" t="s">
        <v>414</v>
      </c>
      <c r="D156" t="s">
        <v>55</v>
      </c>
      <c r="F156" s="20">
        <f>7300*EURUSD</f>
        <v>8103.0000000000009</v>
      </c>
      <c r="G156" s="25"/>
      <c r="H156" s="17">
        <f>Global[[#This Row],[Investment - Identified (US$m)]]+Global[[#This Row],[Investment - Estimated (US$m)]]</f>
        <v>8103.0000000000009</v>
      </c>
      <c r="I156" t="s">
        <v>829</v>
      </c>
      <c r="J156" t="s">
        <v>828</v>
      </c>
      <c r="K156" t="s">
        <v>30</v>
      </c>
      <c r="L156" t="s">
        <v>542</v>
      </c>
      <c r="M156" t="s">
        <v>20</v>
      </c>
      <c r="N156" s="7" t="s">
        <v>774</v>
      </c>
      <c r="O156" s="11">
        <v>45992</v>
      </c>
      <c r="P156" s="13" t="s">
        <v>656</v>
      </c>
    </row>
    <row r="157" spans="1:17" x14ac:dyDescent="0.2">
      <c r="A157" t="s">
        <v>10</v>
      </c>
      <c r="B157" t="s">
        <v>414</v>
      </c>
      <c r="D157" t="s">
        <v>55</v>
      </c>
      <c r="F157" s="22"/>
      <c r="G157" s="25"/>
      <c r="H157" s="17">
        <f>Global[[#This Row],[Investment - Identified (US$m)]]+Global[[#This Row],[Investment - Estimated (US$m)]]</f>
        <v>0</v>
      </c>
      <c r="I157" t="s">
        <v>830</v>
      </c>
      <c r="J157" t="s">
        <v>531</v>
      </c>
      <c r="K157" t="s">
        <v>30</v>
      </c>
      <c r="L157" t="s">
        <v>543</v>
      </c>
      <c r="M157" t="s">
        <v>21</v>
      </c>
      <c r="N157" s="7" t="s">
        <v>775</v>
      </c>
      <c r="O157" s="11">
        <v>45931</v>
      </c>
      <c r="P157" s="13" t="s">
        <v>657</v>
      </c>
    </row>
    <row r="158" spans="1:17" x14ac:dyDescent="0.2">
      <c r="A158" t="s">
        <v>10</v>
      </c>
      <c r="B158" t="s">
        <v>414</v>
      </c>
      <c r="D158" t="s">
        <v>470</v>
      </c>
      <c r="F158" s="22"/>
      <c r="G158" s="25"/>
      <c r="H158" s="17">
        <f>Global[[#This Row],[Investment - Identified (US$m)]]+Global[[#This Row],[Investment - Estimated (US$m)]]</f>
        <v>0</v>
      </c>
      <c r="I158" t="s">
        <v>1058</v>
      </c>
      <c r="J158" t="s">
        <v>529</v>
      </c>
      <c r="K158" t="s">
        <v>28</v>
      </c>
      <c r="L158" t="s">
        <v>544</v>
      </c>
      <c r="M158" t="s">
        <v>20</v>
      </c>
      <c r="N158" s="7" t="s">
        <v>55</v>
      </c>
      <c r="O158" s="11">
        <v>46023</v>
      </c>
      <c r="P158" s="6" t="s">
        <v>658</v>
      </c>
      <c r="Q158" s="6" t="s">
        <v>1059</v>
      </c>
    </row>
    <row r="159" spans="1:17" x14ac:dyDescent="0.2">
      <c r="A159" t="s">
        <v>10</v>
      </c>
      <c r="B159" t="s">
        <v>414</v>
      </c>
      <c r="D159" t="s">
        <v>471</v>
      </c>
      <c r="F159" s="22"/>
      <c r="G159" s="25"/>
      <c r="H159" s="17">
        <f>Global[[#This Row],[Investment - Identified (US$m)]]+Global[[#This Row],[Investment - Estimated (US$m)]]</f>
        <v>0</v>
      </c>
      <c r="I159" t="s">
        <v>832</v>
      </c>
      <c r="J159" t="s">
        <v>529</v>
      </c>
      <c r="K159" t="s">
        <v>28</v>
      </c>
      <c r="L159" t="s">
        <v>544</v>
      </c>
      <c r="N159" s="7" t="s">
        <v>55</v>
      </c>
      <c r="O159" s="11">
        <v>45352</v>
      </c>
    </row>
    <row r="160" spans="1:17" x14ac:dyDescent="0.2">
      <c r="A160" t="s">
        <v>10</v>
      </c>
      <c r="B160" t="s">
        <v>414</v>
      </c>
      <c r="D160" t="s">
        <v>472</v>
      </c>
      <c r="F160" s="22"/>
      <c r="G160" s="25"/>
      <c r="H160" s="17">
        <f>Global[[#This Row],[Investment - Identified (US$m)]]+Global[[#This Row],[Investment - Estimated (US$m)]]</f>
        <v>0</v>
      </c>
      <c r="J160" t="s">
        <v>529</v>
      </c>
      <c r="K160" t="s">
        <v>28</v>
      </c>
      <c r="L160" t="s">
        <v>544</v>
      </c>
      <c r="N160" s="7" t="s">
        <v>55</v>
      </c>
      <c r="O160" s="11">
        <v>45505</v>
      </c>
    </row>
    <row r="161" spans="1:18" x14ac:dyDescent="0.2">
      <c r="A161" t="s">
        <v>10</v>
      </c>
      <c r="B161" t="s">
        <v>414</v>
      </c>
      <c r="D161" t="s">
        <v>473</v>
      </c>
      <c r="F161" s="22">
        <v>6000</v>
      </c>
      <c r="G161" s="25"/>
      <c r="H161" s="17">
        <f>Global[[#This Row],[Investment - Identified (US$m)]]+Global[[#This Row],[Investment - Estimated (US$m)]]</f>
        <v>6000</v>
      </c>
      <c r="I161" t="s">
        <v>812</v>
      </c>
      <c r="J161" t="s">
        <v>249</v>
      </c>
      <c r="K161" t="s">
        <v>844</v>
      </c>
      <c r="L161" t="s">
        <v>545</v>
      </c>
      <c r="N161" s="7">
        <v>2026</v>
      </c>
      <c r="O161" s="11">
        <v>45992</v>
      </c>
      <c r="P161" s="6" t="s">
        <v>659</v>
      </c>
    </row>
    <row r="162" spans="1:18" x14ac:dyDescent="0.2">
      <c r="A162" t="s">
        <v>10</v>
      </c>
      <c r="B162" t="s">
        <v>414</v>
      </c>
      <c r="C162" t="s">
        <v>25</v>
      </c>
      <c r="D162" t="s">
        <v>474</v>
      </c>
      <c r="F162" s="22">
        <f>4100*EURUSD</f>
        <v>4551</v>
      </c>
      <c r="G162" s="25"/>
      <c r="H162" s="17">
        <f>Global[[#This Row],[Investment - Identified (US$m)]]+Global[[#This Row],[Investment - Estimated (US$m)]]</f>
        <v>4551</v>
      </c>
      <c r="I162" t="s">
        <v>833</v>
      </c>
      <c r="J162" t="s">
        <v>250</v>
      </c>
      <c r="K162" t="s">
        <v>30</v>
      </c>
      <c r="L162" t="s">
        <v>546</v>
      </c>
      <c r="M162" t="s">
        <v>20</v>
      </c>
      <c r="N162" s="7">
        <v>2026</v>
      </c>
      <c r="O162" s="11">
        <v>45962</v>
      </c>
      <c r="P162" s="6" t="s">
        <v>660</v>
      </c>
      <c r="Q162" s="6" t="s">
        <v>983</v>
      </c>
      <c r="R162" s="6" t="s">
        <v>1334</v>
      </c>
    </row>
    <row r="163" spans="1:18" x14ac:dyDescent="0.2">
      <c r="A163" t="s">
        <v>10</v>
      </c>
      <c r="B163" t="s">
        <v>414</v>
      </c>
      <c r="D163" t="s">
        <v>475</v>
      </c>
      <c r="F163" s="22">
        <v>100</v>
      </c>
      <c r="G163" s="25"/>
      <c r="H163" s="17">
        <f>Global[[#This Row],[Investment - Identified (US$m)]]+Global[[#This Row],[Investment - Estimated (US$m)]]</f>
        <v>100</v>
      </c>
      <c r="J163" t="s">
        <v>254</v>
      </c>
      <c r="K163" t="s">
        <v>844</v>
      </c>
      <c r="L163" t="s">
        <v>547</v>
      </c>
      <c r="N163" s="7">
        <v>2025</v>
      </c>
      <c r="O163" s="11">
        <v>45078</v>
      </c>
      <c r="P163" s="6" t="s">
        <v>661</v>
      </c>
    </row>
    <row r="164" spans="1:18" x14ac:dyDescent="0.2">
      <c r="A164" t="s">
        <v>10</v>
      </c>
      <c r="B164" t="s">
        <v>415</v>
      </c>
      <c r="D164" t="s">
        <v>476</v>
      </c>
      <c r="F164" s="22"/>
      <c r="G164" s="25">
        <v>100</v>
      </c>
      <c r="H164" s="17">
        <f>Global[[#This Row],[Investment - Identified (US$m)]]+Global[[#This Row],[Investment - Estimated (US$m)]]</f>
        <v>100</v>
      </c>
      <c r="I164" t="s">
        <v>834</v>
      </c>
      <c r="J164" t="s">
        <v>254</v>
      </c>
      <c r="K164" t="s">
        <v>844</v>
      </c>
      <c r="L164" t="s">
        <v>548</v>
      </c>
      <c r="N164" s="7">
        <v>2023</v>
      </c>
      <c r="O164" s="11">
        <v>45261</v>
      </c>
      <c r="P164" s="6" t="s">
        <v>662</v>
      </c>
    </row>
    <row r="165" spans="1:18" x14ac:dyDescent="0.2">
      <c r="A165" t="s">
        <v>10</v>
      </c>
      <c r="B165" t="s">
        <v>415</v>
      </c>
      <c r="D165" t="s">
        <v>55</v>
      </c>
      <c r="F165" s="22">
        <v>60</v>
      </c>
      <c r="G165" s="25"/>
      <c r="H165" s="17">
        <f>Global[[#This Row],[Investment - Identified (US$m)]]+Global[[#This Row],[Investment - Estimated (US$m)]]</f>
        <v>60</v>
      </c>
      <c r="I165" t="s">
        <v>835</v>
      </c>
      <c r="J165" t="s">
        <v>531</v>
      </c>
      <c r="K165" t="s">
        <v>30</v>
      </c>
      <c r="L165" t="s">
        <v>549</v>
      </c>
      <c r="M165" t="s">
        <v>21</v>
      </c>
      <c r="N165" s="7">
        <v>2023</v>
      </c>
      <c r="O165" s="11">
        <v>45839</v>
      </c>
      <c r="P165" s="6" t="s">
        <v>663</v>
      </c>
    </row>
    <row r="166" spans="1:18" x14ac:dyDescent="0.2">
      <c r="A166" t="s">
        <v>10</v>
      </c>
      <c r="B166" t="s">
        <v>415</v>
      </c>
      <c r="C166" t="s">
        <v>25</v>
      </c>
      <c r="D166" t="s">
        <v>477</v>
      </c>
      <c r="F166" s="22">
        <v>275</v>
      </c>
      <c r="G166" s="25"/>
      <c r="H166" s="17">
        <f>Global[[#This Row],[Investment - Identified (US$m)]]+Global[[#This Row],[Investment - Estimated (US$m)]]</f>
        <v>275</v>
      </c>
      <c r="I166" t="s">
        <v>995</v>
      </c>
      <c r="J166" t="s">
        <v>256</v>
      </c>
      <c r="K166" t="s">
        <v>844</v>
      </c>
      <c r="L166" t="s">
        <v>550</v>
      </c>
      <c r="N166" s="7">
        <v>2025</v>
      </c>
      <c r="O166" s="11">
        <v>45778</v>
      </c>
      <c r="P166" s="6" t="s">
        <v>664</v>
      </c>
    </row>
    <row r="167" spans="1:18" x14ac:dyDescent="0.2">
      <c r="A167" t="s">
        <v>10</v>
      </c>
      <c r="B167" t="s">
        <v>415</v>
      </c>
      <c r="D167" t="s">
        <v>55</v>
      </c>
      <c r="F167" s="22"/>
      <c r="G167" s="25">
        <v>275</v>
      </c>
      <c r="H167" s="17">
        <f>Global[[#This Row],[Investment - Identified (US$m)]]+Global[[#This Row],[Investment - Estimated (US$m)]]</f>
        <v>275</v>
      </c>
      <c r="I167" t="s">
        <v>836</v>
      </c>
      <c r="J167" t="s">
        <v>255</v>
      </c>
      <c r="K167" t="s">
        <v>844</v>
      </c>
      <c r="L167" t="s">
        <v>551</v>
      </c>
      <c r="O167" s="11">
        <v>46023</v>
      </c>
      <c r="P167" s="6" t="s">
        <v>665</v>
      </c>
    </row>
    <row r="168" spans="1:18" x14ac:dyDescent="0.2">
      <c r="A168" t="s">
        <v>10</v>
      </c>
      <c r="B168" t="s">
        <v>415</v>
      </c>
      <c r="D168" t="s">
        <v>55</v>
      </c>
      <c r="F168" s="22"/>
      <c r="G168" s="25"/>
      <c r="H168" s="17">
        <f>Global[[#This Row],[Investment - Identified (US$m)]]+Global[[#This Row],[Investment - Estimated (US$m)]]</f>
        <v>0</v>
      </c>
      <c r="I168" t="s">
        <v>831</v>
      </c>
      <c r="J168" t="s">
        <v>529</v>
      </c>
      <c r="K168" t="s">
        <v>28</v>
      </c>
      <c r="L168" t="s">
        <v>552</v>
      </c>
      <c r="M168" t="s">
        <v>22</v>
      </c>
      <c r="N168" s="7" t="s">
        <v>55</v>
      </c>
      <c r="O168" s="11">
        <v>45931</v>
      </c>
      <c r="P168" s="6" t="s">
        <v>666</v>
      </c>
    </row>
    <row r="169" spans="1:18" x14ac:dyDescent="0.2">
      <c r="A169" t="s">
        <v>10</v>
      </c>
      <c r="B169" t="s">
        <v>415</v>
      </c>
      <c r="D169" t="s">
        <v>55</v>
      </c>
      <c r="F169" s="22">
        <v>2000</v>
      </c>
      <c r="G169" s="25"/>
      <c r="H169" s="17">
        <f>Global[[#This Row],[Investment - Identified (US$m)]]+Global[[#This Row],[Investment - Estimated (US$m)]]</f>
        <v>2000</v>
      </c>
      <c r="I169" t="s">
        <v>837</v>
      </c>
      <c r="J169" t="s">
        <v>529</v>
      </c>
      <c r="K169" t="s">
        <v>28</v>
      </c>
      <c r="L169" t="s">
        <v>553</v>
      </c>
      <c r="N169" s="7">
        <v>2024</v>
      </c>
      <c r="O169" s="11">
        <v>45689</v>
      </c>
      <c r="P169" s="6" t="s">
        <v>667</v>
      </c>
    </row>
    <row r="170" spans="1:18" x14ac:dyDescent="0.2">
      <c r="A170" t="s">
        <v>10</v>
      </c>
      <c r="B170" t="s">
        <v>415</v>
      </c>
      <c r="D170" t="s">
        <v>55</v>
      </c>
      <c r="F170" s="22"/>
      <c r="G170" s="25"/>
      <c r="H170" s="17">
        <f>Global[[#This Row],[Investment - Identified (US$m)]]+Global[[#This Row],[Investment - Estimated (US$m)]]</f>
        <v>0</v>
      </c>
      <c r="I170" t="s">
        <v>838</v>
      </c>
      <c r="J170" t="s">
        <v>529</v>
      </c>
      <c r="K170" t="s">
        <v>28</v>
      </c>
      <c r="L170" t="s">
        <v>554</v>
      </c>
      <c r="N170" s="7">
        <v>2024</v>
      </c>
      <c r="O170" s="11">
        <v>45292</v>
      </c>
      <c r="P170" s="6" t="s">
        <v>668</v>
      </c>
    </row>
    <row r="171" spans="1:18" x14ac:dyDescent="0.2">
      <c r="A171" t="s">
        <v>10</v>
      </c>
      <c r="B171" t="s">
        <v>987</v>
      </c>
      <c r="C171" t="s">
        <v>25</v>
      </c>
      <c r="D171" t="s">
        <v>986</v>
      </c>
      <c r="F171" s="22">
        <v>1290</v>
      </c>
      <c r="G171" s="25"/>
      <c r="H171" s="17">
        <f>Global[[#This Row],[Investment - Identified (US$m)]]+Global[[#This Row],[Investment - Estimated (US$m)]]</f>
        <v>1290</v>
      </c>
      <c r="I171" t="s">
        <v>840</v>
      </c>
      <c r="J171" t="s">
        <v>839</v>
      </c>
      <c r="K171" t="s">
        <v>30</v>
      </c>
      <c r="L171" t="s">
        <v>555</v>
      </c>
      <c r="N171" s="7">
        <v>2027</v>
      </c>
      <c r="O171" s="11">
        <v>45444</v>
      </c>
      <c r="P171" t="s">
        <v>669</v>
      </c>
    </row>
    <row r="172" spans="1:18" x14ac:dyDescent="0.2">
      <c r="A172" t="s">
        <v>10</v>
      </c>
      <c r="B172" t="s">
        <v>415</v>
      </c>
      <c r="D172" t="s">
        <v>478</v>
      </c>
      <c r="F172" s="22">
        <v>6500</v>
      </c>
      <c r="G172" s="25"/>
      <c r="H172" s="17">
        <f>Global[[#This Row],[Investment - Identified (US$m)]]+Global[[#This Row],[Investment - Estimated (US$m)]]</f>
        <v>6500</v>
      </c>
      <c r="I172" t="s">
        <v>1038</v>
      </c>
      <c r="J172" t="s">
        <v>536</v>
      </c>
      <c r="K172" t="s">
        <v>965</v>
      </c>
      <c r="L172" t="s">
        <v>556</v>
      </c>
      <c r="M172" t="s">
        <v>20</v>
      </c>
      <c r="N172" s="7" t="s">
        <v>1039</v>
      </c>
      <c r="O172" s="11">
        <v>45901</v>
      </c>
      <c r="P172" s="6" t="s">
        <v>670</v>
      </c>
      <c r="Q172" s="6" t="s">
        <v>1040</v>
      </c>
    </row>
    <row r="173" spans="1:18" x14ac:dyDescent="0.2">
      <c r="A173" t="s">
        <v>10</v>
      </c>
      <c r="B173" t="s">
        <v>415</v>
      </c>
      <c r="D173" t="s">
        <v>479</v>
      </c>
      <c r="F173" s="22"/>
      <c r="G173" s="25">
        <v>300</v>
      </c>
      <c r="H173" s="17">
        <f>Global[[#This Row],[Investment - Identified (US$m)]]+Global[[#This Row],[Investment - Estimated (US$m)]]</f>
        <v>300</v>
      </c>
      <c r="I173" t="s">
        <v>841</v>
      </c>
      <c r="J173" t="s">
        <v>137</v>
      </c>
      <c r="K173" t="s">
        <v>844</v>
      </c>
      <c r="L173" t="s">
        <v>557</v>
      </c>
      <c r="N173" s="7">
        <v>2023</v>
      </c>
      <c r="O173" s="11">
        <v>45231</v>
      </c>
    </row>
    <row r="174" spans="1:18" x14ac:dyDescent="0.2">
      <c r="A174" t="s">
        <v>10</v>
      </c>
      <c r="B174" t="s">
        <v>416</v>
      </c>
      <c r="D174" t="s">
        <v>55</v>
      </c>
      <c r="F174" s="22">
        <v>1400</v>
      </c>
      <c r="G174" s="25"/>
      <c r="H174" s="17">
        <f>Global[[#This Row],[Investment - Identified (US$m)]]+Global[[#This Row],[Investment - Estimated (US$m)]]</f>
        <v>1400</v>
      </c>
      <c r="I174" t="s">
        <v>829</v>
      </c>
      <c r="J174" t="s">
        <v>828</v>
      </c>
      <c r="K174" t="s">
        <v>30</v>
      </c>
      <c r="L174" t="s">
        <v>558</v>
      </c>
      <c r="N174" s="7">
        <v>2026</v>
      </c>
      <c r="O174" s="11">
        <v>45992</v>
      </c>
      <c r="P174" s="6" t="s">
        <v>671</v>
      </c>
    </row>
    <row r="175" spans="1:18" x14ac:dyDescent="0.2">
      <c r="A175" t="s">
        <v>10</v>
      </c>
      <c r="B175" t="s">
        <v>416</v>
      </c>
      <c r="D175" t="s">
        <v>480</v>
      </c>
      <c r="F175" s="22">
        <v>422</v>
      </c>
      <c r="G175" s="25"/>
      <c r="H175" s="17">
        <f>Global[[#This Row],[Investment - Identified (US$m)]]+Global[[#This Row],[Investment - Estimated (US$m)]]</f>
        <v>422</v>
      </c>
      <c r="I175" t="s">
        <v>842</v>
      </c>
      <c r="J175" t="s">
        <v>255</v>
      </c>
      <c r="K175" t="s">
        <v>844</v>
      </c>
      <c r="L175" t="s">
        <v>559</v>
      </c>
      <c r="N175" s="7">
        <v>2025</v>
      </c>
      <c r="O175" s="11">
        <v>45413</v>
      </c>
    </row>
    <row r="176" spans="1:18" x14ac:dyDescent="0.2">
      <c r="A176" t="s">
        <v>10</v>
      </c>
      <c r="B176" t="s">
        <v>416</v>
      </c>
      <c r="D176" t="s">
        <v>480</v>
      </c>
      <c r="F176" s="22">
        <v>1200</v>
      </c>
      <c r="G176" s="25"/>
      <c r="H176" s="17">
        <f>Global[[#This Row],[Investment - Identified (US$m)]]+Global[[#This Row],[Investment - Estimated (US$m)]]</f>
        <v>1200</v>
      </c>
      <c r="I176" t="s">
        <v>842</v>
      </c>
      <c r="J176" t="s">
        <v>255</v>
      </c>
      <c r="K176" t="s">
        <v>844</v>
      </c>
      <c r="L176" t="s">
        <v>559</v>
      </c>
      <c r="N176" s="7">
        <v>2027</v>
      </c>
      <c r="O176" s="11">
        <v>45839</v>
      </c>
      <c r="P176" s="6" t="s">
        <v>672</v>
      </c>
    </row>
    <row r="177" spans="1:17" x14ac:dyDescent="0.2">
      <c r="A177" t="s">
        <v>10</v>
      </c>
      <c r="B177" t="s">
        <v>416</v>
      </c>
      <c r="D177" t="s">
        <v>55</v>
      </c>
      <c r="F177" s="32"/>
      <c r="G177" s="25"/>
      <c r="H177" s="17">
        <f>Global[[#This Row],[Investment - Identified (US$m)]]+Global[[#This Row],[Investment - Estimated (US$m)]]</f>
        <v>0</v>
      </c>
      <c r="I177" t="s">
        <v>843</v>
      </c>
      <c r="J177" t="s">
        <v>74</v>
      </c>
      <c r="K177" t="s">
        <v>30</v>
      </c>
      <c r="L177" t="s">
        <v>560</v>
      </c>
      <c r="M177" t="s">
        <v>24</v>
      </c>
      <c r="N177" s="7" t="s">
        <v>55</v>
      </c>
      <c r="O177" s="11">
        <v>45352</v>
      </c>
      <c r="P177" t="s">
        <v>673</v>
      </c>
    </row>
    <row r="178" spans="1:17" x14ac:dyDescent="0.2">
      <c r="A178" t="s">
        <v>10</v>
      </c>
      <c r="B178" t="s">
        <v>416</v>
      </c>
      <c r="D178" t="s">
        <v>481</v>
      </c>
      <c r="F178" s="22"/>
      <c r="G178" s="25">
        <v>300</v>
      </c>
      <c r="H178" s="17">
        <f>Global[[#This Row],[Investment - Identified (US$m)]]+Global[[#This Row],[Investment - Estimated (US$m)]]</f>
        <v>300</v>
      </c>
      <c r="J178" t="s">
        <v>254</v>
      </c>
      <c r="K178" t="s">
        <v>844</v>
      </c>
      <c r="L178" t="s">
        <v>561</v>
      </c>
      <c r="N178" s="7" t="s">
        <v>55</v>
      </c>
      <c r="O178" s="11">
        <v>45108</v>
      </c>
      <c r="P178" s="6" t="s">
        <v>674</v>
      </c>
    </row>
    <row r="179" spans="1:17" x14ac:dyDescent="0.2">
      <c r="A179" t="s">
        <v>10</v>
      </c>
      <c r="B179" t="s">
        <v>416</v>
      </c>
      <c r="D179" t="s">
        <v>482</v>
      </c>
      <c r="F179" s="22">
        <v>2600</v>
      </c>
      <c r="G179" s="25"/>
      <c r="H179" s="17">
        <f>Global[[#This Row],[Investment - Identified (US$m)]]+Global[[#This Row],[Investment - Estimated (US$m)]]</f>
        <v>2600</v>
      </c>
      <c r="I179" t="s">
        <v>846</v>
      </c>
      <c r="J179" t="s">
        <v>529</v>
      </c>
      <c r="K179" t="s">
        <v>28</v>
      </c>
      <c r="L179" t="s">
        <v>562</v>
      </c>
      <c r="N179" s="7">
        <v>2028</v>
      </c>
      <c r="O179" s="11">
        <v>45931</v>
      </c>
      <c r="P179" t="s">
        <v>667</v>
      </c>
    </row>
    <row r="180" spans="1:17" x14ac:dyDescent="0.2">
      <c r="A180" t="s">
        <v>10</v>
      </c>
      <c r="B180" t="s">
        <v>417</v>
      </c>
      <c r="D180" t="s">
        <v>55</v>
      </c>
      <c r="F180" s="22">
        <v>455</v>
      </c>
      <c r="G180" s="25"/>
      <c r="H180" s="17">
        <f>Global[[#This Row],[Investment - Identified (US$m)]]+Global[[#This Row],[Investment - Estimated (US$m)]]</f>
        <v>455</v>
      </c>
      <c r="I180" t="s">
        <v>848</v>
      </c>
      <c r="J180" t="s">
        <v>847</v>
      </c>
      <c r="K180" t="s">
        <v>844</v>
      </c>
      <c r="L180" t="s">
        <v>563</v>
      </c>
      <c r="N180" s="7">
        <v>2025</v>
      </c>
      <c r="O180" s="11">
        <v>45047</v>
      </c>
      <c r="P180" s="6" t="s">
        <v>675</v>
      </c>
    </row>
    <row r="181" spans="1:17" x14ac:dyDescent="0.2">
      <c r="A181" t="s">
        <v>10</v>
      </c>
      <c r="B181" t="s">
        <v>417</v>
      </c>
      <c r="D181" t="s">
        <v>55</v>
      </c>
      <c r="F181" s="22">
        <v>500</v>
      </c>
      <c r="G181" s="25"/>
      <c r="H181" s="17">
        <f>Global[[#This Row],[Investment - Identified (US$m)]]+Global[[#This Row],[Investment - Estimated (US$m)]]</f>
        <v>500</v>
      </c>
      <c r="I181" t="s">
        <v>849</v>
      </c>
      <c r="J181" t="s">
        <v>529</v>
      </c>
      <c r="K181" t="s">
        <v>28</v>
      </c>
      <c r="L181" t="s">
        <v>564</v>
      </c>
      <c r="N181" s="7">
        <v>2025</v>
      </c>
      <c r="O181" s="11">
        <v>45748</v>
      </c>
      <c r="P181" s="6" t="s">
        <v>676</v>
      </c>
    </row>
    <row r="182" spans="1:17" x14ac:dyDescent="0.2">
      <c r="A182" t="s">
        <v>10</v>
      </c>
      <c r="B182" t="s">
        <v>417</v>
      </c>
      <c r="D182" t="s">
        <v>55</v>
      </c>
      <c r="F182" s="22"/>
      <c r="G182" s="25"/>
      <c r="H182" s="17">
        <f>Global[[#This Row],[Investment - Identified (US$m)]]+Global[[#This Row],[Investment - Estimated (US$m)]]</f>
        <v>0</v>
      </c>
      <c r="I182" t="s">
        <v>850</v>
      </c>
      <c r="J182" t="s">
        <v>529</v>
      </c>
      <c r="K182" t="s">
        <v>28</v>
      </c>
      <c r="L182" t="s">
        <v>565</v>
      </c>
      <c r="M182" t="s">
        <v>23</v>
      </c>
      <c r="N182" s="7">
        <v>2027</v>
      </c>
      <c r="O182" s="11">
        <v>45809</v>
      </c>
      <c r="P182" t="s">
        <v>667</v>
      </c>
    </row>
    <row r="183" spans="1:17" x14ac:dyDescent="0.2">
      <c r="A183" t="s">
        <v>10</v>
      </c>
      <c r="B183" t="s">
        <v>417</v>
      </c>
      <c r="D183" t="s">
        <v>55</v>
      </c>
      <c r="F183" s="22">
        <v>1600</v>
      </c>
      <c r="G183" s="25"/>
      <c r="H183" s="17">
        <f>Global[[#This Row],[Investment - Identified (US$m)]]+Global[[#This Row],[Investment - Estimated (US$m)]]</f>
        <v>1600</v>
      </c>
      <c r="I183" t="s">
        <v>984</v>
      </c>
      <c r="J183" t="s">
        <v>529</v>
      </c>
      <c r="K183" t="s">
        <v>28</v>
      </c>
      <c r="L183" t="s">
        <v>566</v>
      </c>
      <c r="M183" t="s">
        <v>20</v>
      </c>
      <c r="N183" s="7">
        <v>2026</v>
      </c>
      <c r="O183" s="11">
        <v>45992</v>
      </c>
      <c r="P183" t="s">
        <v>677</v>
      </c>
      <c r="Q183" s="6" t="s">
        <v>985</v>
      </c>
    </row>
    <row r="184" spans="1:17" x14ac:dyDescent="0.2">
      <c r="A184" t="s">
        <v>10</v>
      </c>
      <c r="B184" t="s">
        <v>417</v>
      </c>
      <c r="C184" t="s">
        <v>26</v>
      </c>
      <c r="D184" t="s">
        <v>55</v>
      </c>
      <c r="F184" s="22">
        <f>1300*EURUSD</f>
        <v>1443.0000000000002</v>
      </c>
      <c r="G184" s="25"/>
      <c r="H184" s="17">
        <f>Global[[#This Row],[Investment - Identified (US$m)]]+Global[[#This Row],[Investment - Estimated (US$m)]]</f>
        <v>1443.0000000000002</v>
      </c>
      <c r="I184" t="s">
        <v>852</v>
      </c>
      <c r="J184" t="s">
        <v>537</v>
      </c>
      <c r="K184" t="s">
        <v>30</v>
      </c>
      <c r="L184" t="s">
        <v>567</v>
      </c>
      <c r="M184" t="s">
        <v>21</v>
      </c>
      <c r="N184" s="7">
        <v>2025</v>
      </c>
      <c r="O184" s="11">
        <v>45809</v>
      </c>
      <c r="P184" s="6" t="s">
        <v>678</v>
      </c>
    </row>
    <row r="185" spans="1:17" x14ac:dyDescent="0.2">
      <c r="A185" t="s">
        <v>10</v>
      </c>
      <c r="B185" t="s">
        <v>417</v>
      </c>
      <c r="D185" t="s">
        <v>55</v>
      </c>
      <c r="F185" s="22">
        <f>1000*EURUSD</f>
        <v>1110</v>
      </c>
      <c r="G185" s="25"/>
      <c r="H185" s="17">
        <f>Global[[#This Row],[Investment - Identified (US$m)]]+Global[[#This Row],[Investment - Estimated (US$m)]]</f>
        <v>1110</v>
      </c>
      <c r="I185" t="s">
        <v>853</v>
      </c>
      <c r="J185" t="s">
        <v>250</v>
      </c>
      <c r="K185" t="s">
        <v>30</v>
      </c>
      <c r="L185" t="s">
        <v>559</v>
      </c>
      <c r="N185" s="7">
        <v>2026</v>
      </c>
      <c r="O185" s="11">
        <v>45444</v>
      </c>
      <c r="P185" t="s">
        <v>679</v>
      </c>
    </row>
    <row r="186" spans="1:17" x14ac:dyDescent="0.2">
      <c r="A186" t="s">
        <v>10</v>
      </c>
      <c r="B186" t="s">
        <v>417</v>
      </c>
      <c r="D186" t="s">
        <v>55</v>
      </c>
      <c r="F186" s="22">
        <v>1000</v>
      </c>
      <c r="G186" s="25"/>
      <c r="H186" s="17">
        <f>Global[[#This Row],[Investment - Identified (US$m)]]+Global[[#This Row],[Investment - Estimated (US$m)]]</f>
        <v>1000</v>
      </c>
      <c r="I186" t="s">
        <v>854</v>
      </c>
      <c r="J186" t="s">
        <v>74</v>
      </c>
      <c r="K186" t="s">
        <v>30</v>
      </c>
      <c r="L186" t="s">
        <v>568</v>
      </c>
      <c r="M186" t="s">
        <v>21</v>
      </c>
      <c r="N186" s="7">
        <v>2025</v>
      </c>
      <c r="O186" s="11">
        <v>45992</v>
      </c>
      <c r="P186" t="s">
        <v>680</v>
      </c>
      <c r="Q186" s="6" t="s">
        <v>1077</v>
      </c>
    </row>
    <row r="187" spans="1:17" x14ac:dyDescent="0.2">
      <c r="A187" t="s">
        <v>10</v>
      </c>
      <c r="B187" t="s">
        <v>418</v>
      </c>
      <c r="D187" t="s">
        <v>55</v>
      </c>
      <c r="F187" s="22"/>
      <c r="G187" s="25"/>
      <c r="H187" s="17">
        <f>Global[[#This Row],[Investment - Identified (US$m)]]+Global[[#This Row],[Investment - Estimated (US$m)]]</f>
        <v>0</v>
      </c>
      <c r="J187" t="s">
        <v>530</v>
      </c>
      <c r="K187" t="s">
        <v>30</v>
      </c>
      <c r="L187" t="s">
        <v>569</v>
      </c>
      <c r="M187" t="s">
        <v>23</v>
      </c>
      <c r="N187" s="7" t="s">
        <v>55</v>
      </c>
      <c r="O187" s="11">
        <v>45200</v>
      </c>
      <c r="P187" s="6" t="s">
        <v>681</v>
      </c>
    </row>
    <row r="188" spans="1:17" x14ac:dyDescent="0.2">
      <c r="A188" t="s">
        <v>10</v>
      </c>
      <c r="B188" t="s">
        <v>418</v>
      </c>
      <c r="D188" t="s">
        <v>55</v>
      </c>
      <c r="F188" s="22"/>
      <c r="G188" s="25"/>
      <c r="H188" s="17">
        <f>Global[[#This Row],[Investment - Identified (US$m)]]+Global[[#This Row],[Investment - Estimated (US$m)]]</f>
        <v>0</v>
      </c>
      <c r="J188" t="s">
        <v>531</v>
      </c>
      <c r="K188" t="s">
        <v>30</v>
      </c>
      <c r="L188" t="s">
        <v>569</v>
      </c>
      <c r="M188" t="s">
        <v>23</v>
      </c>
      <c r="N188" s="7" t="s">
        <v>55</v>
      </c>
      <c r="O188" s="11">
        <v>45200</v>
      </c>
      <c r="P188" t="s">
        <v>682</v>
      </c>
    </row>
    <row r="189" spans="1:17" x14ac:dyDescent="0.2">
      <c r="A189" t="s">
        <v>10</v>
      </c>
      <c r="B189" t="s">
        <v>418</v>
      </c>
      <c r="D189" t="s">
        <v>483</v>
      </c>
      <c r="F189" s="22">
        <v>30</v>
      </c>
      <c r="G189" s="25"/>
      <c r="H189" s="17">
        <f>Global[[#This Row],[Investment - Identified (US$m)]]+Global[[#This Row],[Investment - Estimated (US$m)]]</f>
        <v>30</v>
      </c>
      <c r="I189" t="s">
        <v>855</v>
      </c>
      <c r="J189" t="s">
        <v>254</v>
      </c>
      <c r="K189" t="s">
        <v>844</v>
      </c>
      <c r="L189" t="s">
        <v>570</v>
      </c>
      <c r="N189" s="7" t="s">
        <v>776</v>
      </c>
      <c r="O189" s="11">
        <v>45839</v>
      </c>
      <c r="P189" s="6" t="s">
        <v>683</v>
      </c>
    </row>
    <row r="190" spans="1:17" x14ac:dyDescent="0.2">
      <c r="A190" t="s">
        <v>10</v>
      </c>
      <c r="B190" t="s">
        <v>419</v>
      </c>
      <c r="D190" t="s">
        <v>55</v>
      </c>
      <c r="F190" s="22">
        <v>1500</v>
      </c>
      <c r="G190" s="25"/>
      <c r="H190" s="17">
        <f>Global[[#This Row],[Investment - Identified (US$m)]]+Global[[#This Row],[Investment - Estimated (US$m)]]</f>
        <v>1500</v>
      </c>
      <c r="I190" t="s">
        <v>856</v>
      </c>
      <c r="J190" t="s">
        <v>828</v>
      </c>
      <c r="K190" t="s">
        <v>30</v>
      </c>
      <c r="L190" t="s">
        <v>571</v>
      </c>
      <c r="N190" s="7">
        <v>2026</v>
      </c>
      <c r="O190" s="11">
        <v>45870</v>
      </c>
      <c r="P190" s="6" t="s">
        <v>684</v>
      </c>
    </row>
    <row r="191" spans="1:17" x14ac:dyDescent="0.2">
      <c r="A191" t="s">
        <v>10</v>
      </c>
      <c r="B191" t="s">
        <v>419</v>
      </c>
      <c r="D191" t="s">
        <v>55</v>
      </c>
      <c r="F191" s="22">
        <v>330</v>
      </c>
      <c r="G191" s="25"/>
      <c r="H191" s="17">
        <f>Global[[#This Row],[Investment - Identified (US$m)]]+Global[[#This Row],[Investment - Estimated (US$m)]]</f>
        <v>330</v>
      </c>
      <c r="I191" t="s">
        <v>857</v>
      </c>
      <c r="J191" t="s">
        <v>256</v>
      </c>
      <c r="K191" t="s">
        <v>844</v>
      </c>
      <c r="L191" t="s">
        <v>559</v>
      </c>
      <c r="N191" s="7">
        <v>2026</v>
      </c>
      <c r="O191" s="11">
        <v>45474</v>
      </c>
      <c r="P191" s="6" t="s">
        <v>685</v>
      </c>
    </row>
    <row r="192" spans="1:17" x14ac:dyDescent="0.2">
      <c r="A192" t="s">
        <v>10</v>
      </c>
      <c r="B192" t="s">
        <v>419</v>
      </c>
      <c r="D192" t="s">
        <v>55</v>
      </c>
      <c r="F192" s="22">
        <v>1000</v>
      </c>
      <c r="G192" s="25"/>
      <c r="H192" s="17">
        <f>Global[[#This Row],[Investment - Identified (US$m)]]+Global[[#This Row],[Investment - Estimated (US$m)]]</f>
        <v>1000</v>
      </c>
      <c r="I192" t="s">
        <v>858</v>
      </c>
      <c r="J192" t="s">
        <v>254</v>
      </c>
      <c r="K192" t="s">
        <v>844</v>
      </c>
      <c r="L192" t="s">
        <v>996</v>
      </c>
      <c r="N192" s="7" t="s">
        <v>55</v>
      </c>
      <c r="O192" s="11">
        <v>45717</v>
      </c>
      <c r="P192" s="6" t="s">
        <v>686</v>
      </c>
    </row>
    <row r="193" spans="1:17" x14ac:dyDescent="0.2">
      <c r="A193" t="s">
        <v>10</v>
      </c>
      <c r="B193" t="s">
        <v>420</v>
      </c>
      <c r="D193" t="s">
        <v>55</v>
      </c>
      <c r="F193" s="22">
        <f>2000*EURUSD</f>
        <v>2220</v>
      </c>
      <c r="G193" s="25"/>
      <c r="H193" s="17">
        <f>Global[[#This Row],[Investment - Identified (US$m)]]+Global[[#This Row],[Investment - Estimated (US$m)]]</f>
        <v>2220</v>
      </c>
      <c r="I193" t="s">
        <v>860</v>
      </c>
      <c r="J193" t="s">
        <v>859</v>
      </c>
      <c r="K193" t="s">
        <v>30</v>
      </c>
      <c r="L193" t="s">
        <v>572</v>
      </c>
      <c r="M193" t="s">
        <v>20</v>
      </c>
      <c r="N193" s="7">
        <v>2028</v>
      </c>
      <c r="O193" s="11">
        <v>45839</v>
      </c>
      <c r="P193" t="s">
        <v>687</v>
      </c>
    </row>
    <row r="194" spans="1:17" x14ac:dyDescent="0.2">
      <c r="A194" t="s">
        <v>10</v>
      </c>
      <c r="B194" t="s">
        <v>420</v>
      </c>
      <c r="D194" t="s">
        <v>55</v>
      </c>
      <c r="F194" s="22"/>
      <c r="G194" s="25"/>
      <c r="H194" s="17">
        <f>Global[[#This Row],[Investment - Identified (US$m)]]+Global[[#This Row],[Investment - Estimated (US$m)]]</f>
        <v>0</v>
      </c>
      <c r="J194" t="s">
        <v>254</v>
      </c>
      <c r="K194" t="s">
        <v>844</v>
      </c>
      <c r="L194" t="s">
        <v>573</v>
      </c>
      <c r="M194" t="s">
        <v>21</v>
      </c>
      <c r="N194" s="7">
        <v>2025</v>
      </c>
      <c r="O194" s="11">
        <v>45870</v>
      </c>
      <c r="P194" s="6" t="s">
        <v>688</v>
      </c>
    </row>
    <row r="195" spans="1:17" x14ac:dyDescent="0.2">
      <c r="A195" t="s">
        <v>10</v>
      </c>
      <c r="B195" t="s">
        <v>421</v>
      </c>
      <c r="D195" t="s">
        <v>484</v>
      </c>
      <c r="F195" s="22">
        <v>500</v>
      </c>
      <c r="G195" s="25"/>
      <c r="H195" s="17">
        <f>Global[[#This Row],[Investment - Identified (US$m)]]+Global[[#This Row],[Investment - Estimated (US$m)]]</f>
        <v>500</v>
      </c>
      <c r="J195" t="s">
        <v>80</v>
      </c>
      <c r="K195" t="s">
        <v>30</v>
      </c>
      <c r="L195" t="s">
        <v>574</v>
      </c>
      <c r="N195" s="7">
        <v>2026</v>
      </c>
      <c r="O195" s="11">
        <v>45505</v>
      </c>
    </row>
    <row r="196" spans="1:17" x14ac:dyDescent="0.2">
      <c r="A196" t="s">
        <v>10</v>
      </c>
      <c r="B196" t="s">
        <v>422</v>
      </c>
      <c r="D196" t="s">
        <v>978</v>
      </c>
      <c r="F196" s="22">
        <v>2200</v>
      </c>
      <c r="G196" s="25"/>
      <c r="H196" s="17">
        <f>Global[[#This Row],[Investment - Identified (US$m)]]+Global[[#This Row],[Investment - Estimated (US$m)]]</f>
        <v>2200</v>
      </c>
      <c r="I196" t="s">
        <v>861</v>
      </c>
      <c r="J196" t="s">
        <v>80</v>
      </c>
      <c r="K196" t="s">
        <v>30</v>
      </c>
      <c r="L196" t="s">
        <v>979</v>
      </c>
      <c r="M196" t="s">
        <v>21</v>
      </c>
      <c r="N196" s="7">
        <v>2023</v>
      </c>
      <c r="O196" s="11">
        <v>45292</v>
      </c>
      <c r="P196" s="6" t="s">
        <v>980</v>
      </c>
    </row>
    <row r="197" spans="1:17" x14ac:dyDescent="0.2">
      <c r="A197" t="s">
        <v>10</v>
      </c>
      <c r="B197" t="s">
        <v>423</v>
      </c>
      <c r="D197" t="s">
        <v>55</v>
      </c>
      <c r="F197" s="22">
        <v>280</v>
      </c>
      <c r="G197" s="25"/>
      <c r="H197" s="17">
        <f>Global[[#This Row],[Investment - Identified (US$m)]]+Global[[#This Row],[Investment - Estimated (US$m)]]</f>
        <v>280</v>
      </c>
      <c r="J197" t="s">
        <v>139</v>
      </c>
      <c r="K197" t="s">
        <v>845</v>
      </c>
      <c r="L197" t="s">
        <v>575</v>
      </c>
      <c r="N197" s="7" t="s">
        <v>55</v>
      </c>
      <c r="O197" s="11">
        <v>45474</v>
      </c>
    </row>
    <row r="198" spans="1:17" x14ac:dyDescent="0.2">
      <c r="A198" t="s">
        <v>10</v>
      </c>
      <c r="B198" t="s">
        <v>424</v>
      </c>
      <c r="D198" t="s">
        <v>55</v>
      </c>
      <c r="F198" s="22">
        <v>140</v>
      </c>
      <c r="G198" s="25"/>
      <c r="H198" s="17">
        <f>Global[[#This Row],[Investment - Identified (US$m)]]+Global[[#This Row],[Investment - Estimated (US$m)]]</f>
        <v>140</v>
      </c>
      <c r="J198" t="s">
        <v>249</v>
      </c>
      <c r="K198" t="s">
        <v>844</v>
      </c>
      <c r="L198" t="s">
        <v>576</v>
      </c>
      <c r="N198" s="7" t="s">
        <v>55</v>
      </c>
      <c r="O198" s="11">
        <v>45658</v>
      </c>
      <c r="P198" s="6" t="s">
        <v>689</v>
      </c>
    </row>
    <row r="199" spans="1:17" x14ac:dyDescent="0.2">
      <c r="A199" t="s">
        <v>10</v>
      </c>
      <c r="B199" t="s">
        <v>425</v>
      </c>
      <c r="D199" t="s">
        <v>485</v>
      </c>
      <c r="F199" s="22"/>
      <c r="G199" s="25"/>
      <c r="H199" s="17">
        <f>Global[[#This Row],[Investment - Identified (US$m)]]+Global[[#This Row],[Investment - Estimated (US$m)]]</f>
        <v>0</v>
      </c>
      <c r="I199" t="s">
        <v>863</v>
      </c>
      <c r="J199" t="s">
        <v>862</v>
      </c>
      <c r="K199" t="s">
        <v>30</v>
      </c>
      <c r="L199" t="s">
        <v>577</v>
      </c>
      <c r="N199" s="7">
        <v>2026</v>
      </c>
      <c r="O199" s="11">
        <v>45566</v>
      </c>
      <c r="P199" s="6" t="s">
        <v>690</v>
      </c>
    </row>
    <row r="200" spans="1:17" x14ac:dyDescent="0.2">
      <c r="A200" t="s">
        <v>10</v>
      </c>
      <c r="B200" t="s">
        <v>425</v>
      </c>
      <c r="D200" t="s">
        <v>486</v>
      </c>
      <c r="F200" s="22">
        <v>210</v>
      </c>
      <c r="G200" s="25"/>
      <c r="H200" s="17">
        <f>Global[[#This Row],[Investment - Identified (US$m)]]+Global[[#This Row],[Investment - Estimated (US$m)]]</f>
        <v>210</v>
      </c>
      <c r="I200" t="s">
        <v>532</v>
      </c>
      <c r="J200" t="s">
        <v>529</v>
      </c>
      <c r="K200" t="s">
        <v>28</v>
      </c>
      <c r="L200" t="s">
        <v>559</v>
      </c>
      <c r="N200" s="7">
        <v>2024</v>
      </c>
      <c r="O200" s="11">
        <v>45323</v>
      </c>
      <c r="P200" t="s">
        <v>691</v>
      </c>
    </row>
    <row r="201" spans="1:17" x14ac:dyDescent="0.2">
      <c r="A201" t="s">
        <v>10</v>
      </c>
      <c r="B201" t="s">
        <v>426</v>
      </c>
      <c r="F201" s="22">
        <v>280</v>
      </c>
      <c r="G201" s="25"/>
      <c r="H201" s="17">
        <f>Global[[#This Row],[Investment - Identified (US$m)]]+Global[[#This Row],[Investment - Estimated (US$m)]]</f>
        <v>280</v>
      </c>
      <c r="I201" t="s">
        <v>864</v>
      </c>
      <c r="J201" t="s">
        <v>255</v>
      </c>
      <c r="K201" t="s">
        <v>844</v>
      </c>
      <c r="L201" t="s">
        <v>559</v>
      </c>
      <c r="N201" s="7">
        <v>2025</v>
      </c>
      <c r="O201" s="11">
        <v>45658</v>
      </c>
      <c r="P201" s="6" t="s">
        <v>692</v>
      </c>
    </row>
    <row r="202" spans="1:17" x14ac:dyDescent="0.2">
      <c r="A202" t="s">
        <v>10</v>
      </c>
      <c r="B202" t="s">
        <v>427</v>
      </c>
      <c r="D202" t="s">
        <v>55</v>
      </c>
      <c r="F202" s="22">
        <v>102</v>
      </c>
      <c r="G202" s="25"/>
      <c r="H202" s="17">
        <f>Global[[#This Row],[Investment - Identified (US$m)]]+Global[[#This Row],[Investment - Estimated (US$m)]]</f>
        <v>102</v>
      </c>
      <c r="I202" t="s">
        <v>865</v>
      </c>
      <c r="J202" t="s">
        <v>828</v>
      </c>
      <c r="K202" t="s">
        <v>30</v>
      </c>
      <c r="L202" t="s">
        <v>578</v>
      </c>
      <c r="O202" s="11">
        <v>45717</v>
      </c>
      <c r="P202" s="6" t="s">
        <v>693</v>
      </c>
    </row>
    <row r="203" spans="1:17" x14ac:dyDescent="0.2">
      <c r="A203" t="s">
        <v>10</v>
      </c>
      <c r="B203" t="s">
        <v>452</v>
      </c>
      <c r="C203" t="s">
        <v>26</v>
      </c>
      <c r="D203" t="s">
        <v>55</v>
      </c>
      <c r="F203" s="22"/>
      <c r="G203" s="25">
        <v>200</v>
      </c>
      <c r="H203" s="17">
        <f>Global[[#This Row],[Investment - Identified (US$m)]]+Global[[#This Row],[Investment - Estimated (US$m)]]</f>
        <v>200</v>
      </c>
      <c r="I203" t="s">
        <v>1007</v>
      </c>
      <c r="J203" t="s">
        <v>69</v>
      </c>
      <c r="K203" t="s">
        <v>965</v>
      </c>
      <c r="L203" t="s">
        <v>1008</v>
      </c>
      <c r="M203" t="s">
        <v>18</v>
      </c>
      <c r="N203" s="7">
        <v>2027</v>
      </c>
      <c r="O203" s="11">
        <v>46023</v>
      </c>
      <c r="P203" s="6" t="s">
        <v>1009</v>
      </c>
      <c r="Q203" s="6" t="s">
        <v>1010</v>
      </c>
    </row>
    <row r="204" spans="1:17" x14ac:dyDescent="0.2">
      <c r="A204" t="s">
        <v>10</v>
      </c>
      <c r="B204" t="s">
        <v>428</v>
      </c>
      <c r="D204" t="s">
        <v>487</v>
      </c>
      <c r="F204" s="22"/>
      <c r="G204" s="25"/>
      <c r="H204" s="17">
        <f>Global[[#This Row],[Investment - Identified (US$m)]]+Global[[#This Row],[Investment - Estimated (US$m)]]</f>
        <v>0</v>
      </c>
      <c r="J204" t="s">
        <v>533</v>
      </c>
      <c r="K204" t="s">
        <v>30</v>
      </c>
      <c r="L204" t="s">
        <v>559</v>
      </c>
      <c r="N204" s="7" t="s">
        <v>55</v>
      </c>
      <c r="O204" s="11">
        <v>45717</v>
      </c>
      <c r="P204" s="6" t="s">
        <v>694</v>
      </c>
    </row>
    <row r="205" spans="1:17" x14ac:dyDescent="0.2">
      <c r="A205" t="s">
        <v>10</v>
      </c>
      <c r="B205" t="s">
        <v>178</v>
      </c>
      <c r="D205" t="s">
        <v>488</v>
      </c>
      <c r="F205" s="22"/>
      <c r="G205" s="25">
        <v>500</v>
      </c>
      <c r="H205" s="17">
        <f>Global[[#This Row],[Investment - Identified (US$m)]]+Global[[#This Row],[Investment - Estimated (US$m)]]</f>
        <v>500</v>
      </c>
      <c r="J205" t="s">
        <v>534</v>
      </c>
      <c r="K205" t="s">
        <v>28</v>
      </c>
      <c r="L205" t="s">
        <v>579</v>
      </c>
      <c r="N205" s="7">
        <v>2025</v>
      </c>
      <c r="O205" s="11">
        <v>45962</v>
      </c>
      <c r="P205" s="6" t="s">
        <v>695</v>
      </c>
    </row>
    <row r="206" spans="1:17" x14ac:dyDescent="0.2">
      <c r="A206" t="s">
        <v>10</v>
      </c>
      <c r="B206" t="s">
        <v>429</v>
      </c>
      <c r="D206" t="s">
        <v>55</v>
      </c>
      <c r="F206" s="22">
        <v>200</v>
      </c>
      <c r="G206" s="25"/>
      <c r="H206" s="17">
        <f>Global[[#This Row],[Investment - Identified (US$m)]]+Global[[#This Row],[Investment - Estimated (US$m)]]</f>
        <v>200</v>
      </c>
      <c r="I206" t="s">
        <v>807</v>
      </c>
      <c r="J206" t="s">
        <v>529</v>
      </c>
      <c r="K206" t="s">
        <v>28</v>
      </c>
      <c r="L206" t="s">
        <v>580</v>
      </c>
      <c r="M206" t="s">
        <v>21</v>
      </c>
      <c r="N206" s="7">
        <v>2025</v>
      </c>
      <c r="O206" s="11">
        <v>45901</v>
      </c>
      <c r="P206" s="6" t="s">
        <v>696</v>
      </c>
    </row>
    <row r="207" spans="1:17" x14ac:dyDescent="0.2">
      <c r="A207" t="s">
        <v>10</v>
      </c>
      <c r="B207" t="s">
        <v>429</v>
      </c>
      <c r="D207" t="s">
        <v>489</v>
      </c>
      <c r="F207" s="22"/>
      <c r="G207" s="25"/>
      <c r="H207" s="17">
        <f>Global[[#This Row],[Investment - Identified (US$m)]]+Global[[#This Row],[Investment - Estimated (US$m)]]</f>
        <v>0</v>
      </c>
      <c r="J207" t="s">
        <v>136</v>
      </c>
      <c r="K207" t="s">
        <v>845</v>
      </c>
      <c r="L207" t="s">
        <v>575</v>
      </c>
      <c r="O207" s="11">
        <v>45566</v>
      </c>
      <c r="P207" s="6" t="s">
        <v>697</v>
      </c>
    </row>
    <row r="208" spans="1:17" x14ac:dyDescent="0.2">
      <c r="A208" t="s">
        <v>10</v>
      </c>
      <c r="B208" t="s">
        <v>429</v>
      </c>
      <c r="F208" s="22">
        <v>470</v>
      </c>
      <c r="G208" s="25"/>
      <c r="H208" s="17">
        <f>Global[[#This Row],[Investment - Identified (US$m)]]+Global[[#This Row],[Investment - Estimated (US$m)]]</f>
        <v>470</v>
      </c>
      <c r="I208" t="s">
        <v>1319</v>
      </c>
      <c r="J208" t="s">
        <v>250</v>
      </c>
      <c r="K208" t="s">
        <v>30</v>
      </c>
      <c r="L208" t="s">
        <v>1320</v>
      </c>
      <c r="M208" t="s">
        <v>18</v>
      </c>
      <c r="N208" s="7">
        <v>2027</v>
      </c>
      <c r="O208" s="11">
        <v>46113</v>
      </c>
      <c r="P208" s="6" t="s">
        <v>1321</v>
      </c>
    </row>
    <row r="209" spans="1:17" x14ac:dyDescent="0.2">
      <c r="A209" t="s">
        <v>10</v>
      </c>
      <c r="B209" t="s">
        <v>170</v>
      </c>
      <c r="D209" t="s">
        <v>55</v>
      </c>
      <c r="F209" s="30">
        <v>700</v>
      </c>
      <c r="G209" s="25"/>
      <c r="H209" s="17">
        <f>Global[[#This Row],[Investment - Identified (US$m)]]+Global[[#This Row],[Investment - Estimated (US$m)]]</f>
        <v>700</v>
      </c>
      <c r="I209" t="s">
        <v>866</v>
      </c>
      <c r="J209" t="s">
        <v>529</v>
      </c>
      <c r="K209" t="s">
        <v>28</v>
      </c>
      <c r="L209" t="s">
        <v>581</v>
      </c>
      <c r="N209" s="7">
        <v>2026</v>
      </c>
      <c r="O209" s="11">
        <v>45597</v>
      </c>
      <c r="P209" s="6" t="s">
        <v>698</v>
      </c>
    </row>
    <row r="210" spans="1:17" x14ac:dyDescent="0.2">
      <c r="A210" t="s">
        <v>11</v>
      </c>
      <c r="B210" t="s">
        <v>430</v>
      </c>
      <c r="D210" t="s">
        <v>490</v>
      </c>
      <c r="F210" s="31">
        <v>1350</v>
      </c>
      <c r="G210" s="25"/>
      <c r="H210" s="17">
        <f>Global[[#This Row],[Investment - Identified (US$m)]]+Global[[#This Row],[Investment - Estimated (US$m)]]</f>
        <v>1350</v>
      </c>
      <c r="I210" t="s">
        <v>960</v>
      </c>
      <c r="J210" t="s">
        <v>530</v>
      </c>
      <c r="K210" t="s">
        <v>30</v>
      </c>
      <c r="L210" t="s">
        <v>582</v>
      </c>
      <c r="M210" t="s">
        <v>24</v>
      </c>
      <c r="N210" s="7">
        <v>2026</v>
      </c>
      <c r="O210" s="15">
        <v>45200</v>
      </c>
      <c r="P210" s="6" t="s">
        <v>699</v>
      </c>
      <c r="Q210" s="6" t="s">
        <v>961</v>
      </c>
    </row>
    <row r="211" spans="1:17" x14ac:dyDescent="0.2">
      <c r="A211" t="s">
        <v>11</v>
      </c>
      <c r="B211" t="s">
        <v>431</v>
      </c>
      <c r="D211" t="s">
        <v>55</v>
      </c>
      <c r="F211" s="22"/>
      <c r="G211" s="25"/>
      <c r="H211" s="17">
        <f>Global[[#This Row],[Investment - Identified (US$m)]]+Global[[#This Row],[Investment - Estimated (US$m)]]</f>
        <v>0</v>
      </c>
      <c r="I211" t="s">
        <v>867</v>
      </c>
      <c r="J211" t="s">
        <v>862</v>
      </c>
      <c r="K211" t="s">
        <v>30</v>
      </c>
      <c r="L211" t="s">
        <v>959</v>
      </c>
      <c r="M211" t="s">
        <v>22</v>
      </c>
      <c r="N211" s="7" t="s">
        <v>55</v>
      </c>
      <c r="O211" s="11">
        <v>45047</v>
      </c>
      <c r="P211" s="6" t="s">
        <v>700</v>
      </c>
      <c r="Q211" s="6" t="s">
        <v>701</v>
      </c>
    </row>
    <row r="212" spans="1:17" x14ac:dyDescent="0.2">
      <c r="A212" t="s">
        <v>11</v>
      </c>
      <c r="B212" t="s">
        <v>432</v>
      </c>
      <c r="D212" t="s">
        <v>55</v>
      </c>
      <c r="F212" s="22">
        <f>1400*EURUSD</f>
        <v>1554.0000000000002</v>
      </c>
      <c r="G212" s="25"/>
      <c r="H212" s="17">
        <f>Global[[#This Row],[Investment - Identified (US$m)]]+Global[[#This Row],[Investment - Estimated (US$m)]]</f>
        <v>1554.0000000000002</v>
      </c>
      <c r="I212" t="s">
        <v>868</v>
      </c>
      <c r="J212" t="s">
        <v>828</v>
      </c>
      <c r="K212" t="s">
        <v>30</v>
      </c>
      <c r="L212" t="s">
        <v>583</v>
      </c>
      <c r="N212" s="7">
        <v>2026</v>
      </c>
      <c r="O212" s="11">
        <v>45992</v>
      </c>
      <c r="P212" s="6" t="s">
        <v>702</v>
      </c>
    </row>
    <row r="213" spans="1:17" x14ac:dyDescent="0.2">
      <c r="A213" t="s">
        <v>11</v>
      </c>
      <c r="B213" t="s">
        <v>432</v>
      </c>
      <c r="D213" t="s">
        <v>473</v>
      </c>
      <c r="F213" s="31">
        <v>8400</v>
      </c>
      <c r="G213" s="25"/>
      <c r="H213" s="17">
        <f>Global[[#This Row],[Investment - Identified (US$m)]]+Global[[#This Row],[Investment - Estimated (US$m)]]</f>
        <v>8400</v>
      </c>
      <c r="J213" t="s">
        <v>249</v>
      </c>
      <c r="K213" t="s">
        <v>844</v>
      </c>
      <c r="L213" t="s">
        <v>584</v>
      </c>
      <c r="O213" s="15">
        <v>45748</v>
      </c>
      <c r="P213" s="6" t="s">
        <v>703</v>
      </c>
    </row>
    <row r="214" spans="1:17" x14ac:dyDescent="0.2">
      <c r="A214" t="s">
        <v>11</v>
      </c>
      <c r="B214" t="s">
        <v>432</v>
      </c>
      <c r="D214" t="s">
        <v>491</v>
      </c>
      <c r="F214" s="22">
        <v>1800</v>
      </c>
      <c r="G214" s="25"/>
      <c r="H214" s="17">
        <f>Global[[#This Row],[Investment - Identified (US$m)]]+Global[[#This Row],[Investment - Estimated (US$m)]]</f>
        <v>1800</v>
      </c>
      <c r="I214" t="s">
        <v>870</v>
      </c>
      <c r="J214" t="s">
        <v>869</v>
      </c>
      <c r="K214" t="s">
        <v>844</v>
      </c>
      <c r="L214" t="s">
        <v>585</v>
      </c>
      <c r="N214" s="7">
        <v>2026</v>
      </c>
      <c r="O214" s="11">
        <v>45689</v>
      </c>
      <c r="P214" s="6" t="s">
        <v>704</v>
      </c>
    </row>
    <row r="215" spans="1:17" x14ac:dyDescent="0.2">
      <c r="A215" t="s">
        <v>11</v>
      </c>
      <c r="B215" t="s">
        <v>432</v>
      </c>
      <c r="F215" s="22">
        <v>400</v>
      </c>
      <c r="G215" s="25"/>
      <c r="H215" s="17">
        <f>Global[[#This Row],[Investment - Identified (US$m)]]+Global[[#This Row],[Investment - Estimated (US$m)]]</f>
        <v>400</v>
      </c>
      <c r="J215" t="s">
        <v>535</v>
      </c>
      <c r="K215" t="s">
        <v>29</v>
      </c>
      <c r="L215" t="s">
        <v>586</v>
      </c>
      <c r="N215" s="7" t="s">
        <v>774</v>
      </c>
      <c r="O215" s="11">
        <v>45931</v>
      </c>
      <c r="P215" s="6" t="s">
        <v>705</v>
      </c>
    </row>
    <row r="216" spans="1:17" x14ac:dyDescent="0.2">
      <c r="A216" t="s">
        <v>11</v>
      </c>
      <c r="B216" t="s">
        <v>432</v>
      </c>
      <c r="C216" t="s">
        <v>25</v>
      </c>
      <c r="D216" t="s">
        <v>1060</v>
      </c>
      <c r="E216" t="s">
        <v>25</v>
      </c>
      <c r="F216" s="22">
        <v>6000</v>
      </c>
      <c r="G216" s="25"/>
      <c r="H216" s="17">
        <f>Global[[#This Row],[Investment - Identified (US$m)]]+Global[[#This Row],[Investment - Estimated (US$m)]]</f>
        <v>6000</v>
      </c>
      <c r="I216" t="s">
        <v>812</v>
      </c>
      <c r="J216" t="s">
        <v>249</v>
      </c>
      <c r="K216" t="s">
        <v>844</v>
      </c>
      <c r="L216" t="s">
        <v>1061</v>
      </c>
      <c r="M216" t="s">
        <v>18</v>
      </c>
      <c r="N216" s="7" t="s">
        <v>55</v>
      </c>
      <c r="O216" s="11">
        <v>46054</v>
      </c>
      <c r="P216" s="6" t="s">
        <v>1062</v>
      </c>
      <c r="Q216" s="6" t="s">
        <v>1063</v>
      </c>
    </row>
    <row r="217" spans="1:17" x14ac:dyDescent="0.2">
      <c r="A217" t="s">
        <v>11</v>
      </c>
      <c r="B217" t="s">
        <v>433</v>
      </c>
      <c r="D217" t="s">
        <v>55</v>
      </c>
      <c r="F217" s="32"/>
      <c r="G217" s="25"/>
      <c r="H217" s="17">
        <f>Global[[#This Row],[Investment - Identified (US$m)]]+Global[[#This Row],[Investment - Estimated (US$m)]]</f>
        <v>0</v>
      </c>
      <c r="J217" t="s">
        <v>260</v>
      </c>
      <c r="K217" t="s">
        <v>29</v>
      </c>
      <c r="L217" t="s">
        <v>587</v>
      </c>
      <c r="M217" t="s">
        <v>22</v>
      </c>
      <c r="N217" s="7" t="s">
        <v>55</v>
      </c>
      <c r="O217" s="11">
        <v>45505</v>
      </c>
      <c r="P217" s="6" t="s">
        <v>706</v>
      </c>
    </row>
    <row r="218" spans="1:17" x14ac:dyDescent="0.2">
      <c r="A218" t="s">
        <v>11</v>
      </c>
      <c r="B218" t="s">
        <v>415</v>
      </c>
      <c r="D218" t="s">
        <v>492</v>
      </c>
      <c r="F218" s="22">
        <v>1800</v>
      </c>
      <c r="G218" s="25"/>
      <c r="H218" s="17">
        <f>Global[[#This Row],[Investment - Identified (US$m)]]+Global[[#This Row],[Investment - Estimated (US$m)]]</f>
        <v>1800</v>
      </c>
      <c r="I218" t="s">
        <v>870</v>
      </c>
      <c r="J218" t="s">
        <v>249</v>
      </c>
      <c r="K218" t="s">
        <v>844</v>
      </c>
      <c r="L218" t="s">
        <v>588</v>
      </c>
      <c r="N218" s="7" t="s">
        <v>55</v>
      </c>
      <c r="O218" s="11">
        <v>45962</v>
      </c>
      <c r="P218" s="6" t="s">
        <v>707</v>
      </c>
    </row>
    <row r="219" spans="1:17" x14ac:dyDescent="0.2">
      <c r="A219" t="s">
        <v>11</v>
      </c>
      <c r="B219" t="s">
        <v>434</v>
      </c>
      <c r="F219" s="22">
        <v>500</v>
      </c>
      <c r="G219" s="25"/>
      <c r="H219" s="17">
        <f>Global[[#This Row],[Investment - Identified (US$m)]]+Global[[#This Row],[Investment - Estimated (US$m)]]</f>
        <v>500</v>
      </c>
      <c r="J219" t="s">
        <v>535</v>
      </c>
      <c r="K219" t="s">
        <v>965</v>
      </c>
      <c r="L219" t="s">
        <v>586</v>
      </c>
      <c r="N219" s="7">
        <v>2026</v>
      </c>
      <c r="O219" s="11">
        <v>45536</v>
      </c>
      <c r="P219" s="6" t="s">
        <v>708</v>
      </c>
    </row>
    <row r="220" spans="1:17" x14ac:dyDescent="0.2">
      <c r="A220" t="s">
        <v>11</v>
      </c>
      <c r="B220" t="s">
        <v>435</v>
      </c>
      <c r="D220" t="s">
        <v>493</v>
      </c>
      <c r="F220" s="31">
        <v>478</v>
      </c>
      <c r="G220" s="25"/>
      <c r="H220" s="17">
        <f>Global[[#This Row],[Investment - Identified (US$m)]]+Global[[#This Row],[Investment - Estimated (US$m)]]</f>
        <v>478</v>
      </c>
      <c r="I220" t="s">
        <v>870</v>
      </c>
      <c r="J220" t="s">
        <v>249</v>
      </c>
      <c r="K220" t="s">
        <v>844</v>
      </c>
      <c r="L220" t="s">
        <v>589</v>
      </c>
      <c r="N220" s="7">
        <v>2024</v>
      </c>
      <c r="O220" s="15">
        <v>45505</v>
      </c>
      <c r="P220" t="s">
        <v>709</v>
      </c>
    </row>
    <row r="221" spans="1:17" x14ac:dyDescent="0.2">
      <c r="A221" t="s">
        <v>11</v>
      </c>
      <c r="B221" t="s">
        <v>435</v>
      </c>
      <c r="D221" t="s">
        <v>493</v>
      </c>
      <c r="F221" s="31">
        <v>299</v>
      </c>
      <c r="G221" s="25"/>
      <c r="H221" s="17">
        <f>Global[[#This Row],[Investment - Identified (US$m)]]+Global[[#This Row],[Investment - Estimated (US$m)]]</f>
        <v>299</v>
      </c>
      <c r="I221" t="s">
        <v>870</v>
      </c>
      <c r="J221" t="s">
        <v>249</v>
      </c>
      <c r="K221" t="s">
        <v>844</v>
      </c>
      <c r="L221" t="s">
        <v>590</v>
      </c>
      <c r="N221" s="7">
        <v>2026</v>
      </c>
      <c r="O221" s="15">
        <v>45505</v>
      </c>
      <c r="P221" t="s">
        <v>709</v>
      </c>
    </row>
    <row r="222" spans="1:17" x14ac:dyDescent="0.2">
      <c r="A222" t="s">
        <v>11</v>
      </c>
      <c r="B222" t="s">
        <v>435</v>
      </c>
      <c r="D222" t="s">
        <v>55</v>
      </c>
      <c r="F222" s="31">
        <v>497</v>
      </c>
      <c r="G222" s="25"/>
      <c r="H222" s="17">
        <f>Global[[#This Row],[Investment - Identified (US$m)]]+Global[[#This Row],[Investment - Estimated (US$m)]]</f>
        <v>497</v>
      </c>
      <c r="I222" t="s">
        <v>871</v>
      </c>
      <c r="J222" t="s">
        <v>536</v>
      </c>
      <c r="K222" t="s">
        <v>965</v>
      </c>
      <c r="L222" t="s">
        <v>591</v>
      </c>
      <c r="M222" t="s">
        <v>20</v>
      </c>
      <c r="N222" s="7">
        <v>2027</v>
      </c>
      <c r="O222" s="15">
        <v>45352</v>
      </c>
      <c r="P222" s="6" t="s">
        <v>710</v>
      </c>
    </row>
    <row r="223" spans="1:17" x14ac:dyDescent="0.2">
      <c r="A223" t="s">
        <v>11</v>
      </c>
      <c r="B223" t="s">
        <v>435</v>
      </c>
      <c r="D223" t="s">
        <v>55</v>
      </c>
      <c r="F223" s="31">
        <v>366</v>
      </c>
      <c r="G223" s="25"/>
      <c r="H223" s="17">
        <f>Global[[#This Row],[Investment - Identified (US$m)]]+Global[[#This Row],[Investment - Estimated (US$m)]]</f>
        <v>366</v>
      </c>
      <c r="I223" t="s">
        <v>871</v>
      </c>
      <c r="J223" t="s">
        <v>536</v>
      </c>
      <c r="K223" t="s">
        <v>965</v>
      </c>
      <c r="L223" t="s">
        <v>592</v>
      </c>
      <c r="M223" t="s">
        <v>20</v>
      </c>
      <c r="N223" s="7">
        <v>2027</v>
      </c>
      <c r="O223" s="15">
        <v>45505</v>
      </c>
      <c r="P223" s="6" t="s">
        <v>711</v>
      </c>
    </row>
    <row r="224" spans="1:17" x14ac:dyDescent="0.2">
      <c r="A224" t="s">
        <v>11</v>
      </c>
      <c r="B224" t="s">
        <v>435</v>
      </c>
      <c r="D224" t="s">
        <v>494</v>
      </c>
      <c r="F224" s="31">
        <v>3.6</v>
      </c>
      <c r="G224" s="25"/>
      <c r="H224" s="17">
        <f>Global[[#This Row],[Investment - Identified (US$m)]]+Global[[#This Row],[Investment - Estimated (US$m)]]</f>
        <v>3.6</v>
      </c>
      <c r="J224" t="s">
        <v>244</v>
      </c>
      <c r="K224" t="s">
        <v>965</v>
      </c>
      <c r="L224" t="s">
        <v>593</v>
      </c>
      <c r="N224" s="7" t="s">
        <v>55</v>
      </c>
      <c r="O224" s="15">
        <v>45352</v>
      </c>
      <c r="P224" s="6" t="s">
        <v>712</v>
      </c>
    </row>
    <row r="225" spans="1:17" x14ac:dyDescent="0.2">
      <c r="A225" t="s">
        <v>11</v>
      </c>
      <c r="B225" t="s">
        <v>436</v>
      </c>
      <c r="D225" t="s">
        <v>55</v>
      </c>
      <c r="F225" s="31"/>
      <c r="G225" s="25">
        <v>100</v>
      </c>
      <c r="H225" s="17">
        <f>Global[[#This Row],[Investment - Identified (US$m)]]+Global[[#This Row],[Investment - Estimated (US$m)]]</f>
        <v>100</v>
      </c>
      <c r="I225" t="s">
        <v>872</v>
      </c>
      <c r="J225" t="s">
        <v>244</v>
      </c>
      <c r="K225" t="s">
        <v>965</v>
      </c>
      <c r="L225" t="s">
        <v>594</v>
      </c>
      <c r="N225" s="7" t="s">
        <v>777</v>
      </c>
      <c r="O225" s="15">
        <v>45901</v>
      </c>
      <c r="P225" s="6" t="s">
        <v>713</v>
      </c>
    </row>
    <row r="226" spans="1:17" x14ac:dyDescent="0.2">
      <c r="A226" t="s">
        <v>11</v>
      </c>
      <c r="B226" t="s">
        <v>437</v>
      </c>
      <c r="D226" t="s">
        <v>55</v>
      </c>
      <c r="F226" s="30">
        <v>288</v>
      </c>
      <c r="G226" s="25"/>
      <c r="H226" s="17">
        <f>Global[[#This Row],[Investment - Identified (US$m)]]+Global[[#This Row],[Investment - Estimated (US$m)]]</f>
        <v>288</v>
      </c>
      <c r="I226" s="9" t="s">
        <v>871</v>
      </c>
      <c r="J226" s="9" t="s">
        <v>536</v>
      </c>
      <c r="K226" t="s">
        <v>965</v>
      </c>
      <c r="L226" t="s">
        <v>595</v>
      </c>
      <c r="M226" t="s">
        <v>20</v>
      </c>
      <c r="N226" s="7">
        <v>2027</v>
      </c>
      <c r="O226" s="15">
        <v>45413</v>
      </c>
      <c r="P226" s="6" t="s">
        <v>714</v>
      </c>
    </row>
    <row r="227" spans="1:17" x14ac:dyDescent="0.2">
      <c r="A227" t="s">
        <v>11</v>
      </c>
      <c r="B227" t="s">
        <v>437</v>
      </c>
      <c r="D227" t="s">
        <v>55</v>
      </c>
      <c r="F227" s="30">
        <v>850</v>
      </c>
      <c r="G227" s="25"/>
      <c r="H227" s="17">
        <f>Global[[#This Row],[Investment - Identified (US$m)]]+Global[[#This Row],[Investment - Estimated (US$m)]]</f>
        <v>850</v>
      </c>
      <c r="J227" t="s">
        <v>249</v>
      </c>
      <c r="K227" t="s">
        <v>844</v>
      </c>
      <c r="L227" t="s">
        <v>595</v>
      </c>
      <c r="N227" s="7" t="s">
        <v>778</v>
      </c>
      <c r="O227" s="15"/>
      <c r="P227" s="6" t="s">
        <v>715</v>
      </c>
    </row>
    <row r="228" spans="1:17" x14ac:dyDescent="0.2">
      <c r="A228" t="s">
        <v>11</v>
      </c>
      <c r="B228" t="s">
        <v>438</v>
      </c>
      <c r="C228" t="s">
        <v>25</v>
      </c>
      <c r="D228" t="s">
        <v>495</v>
      </c>
      <c r="F228" s="30">
        <v>2000</v>
      </c>
      <c r="G228" s="25"/>
      <c r="H228" s="17">
        <f>Global[[#This Row],[Investment - Identified (US$m)]]+Global[[#This Row],[Investment - Estimated (US$m)]]</f>
        <v>2000</v>
      </c>
      <c r="I228" t="s">
        <v>873</v>
      </c>
      <c r="J228" t="s">
        <v>536</v>
      </c>
      <c r="K228" t="s">
        <v>965</v>
      </c>
      <c r="L228" t="s">
        <v>596</v>
      </c>
      <c r="M228" t="s">
        <v>21</v>
      </c>
      <c r="N228" s="7" t="s">
        <v>778</v>
      </c>
      <c r="O228" s="15">
        <v>45839</v>
      </c>
      <c r="P228" s="6" t="s">
        <v>716</v>
      </c>
    </row>
    <row r="229" spans="1:17" x14ac:dyDescent="0.2">
      <c r="A229" t="s">
        <v>11</v>
      </c>
      <c r="B229" t="s">
        <v>438</v>
      </c>
      <c r="C229" t="s">
        <v>26</v>
      </c>
      <c r="D229" t="s">
        <v>55</v>
      </c>
      <c r="F229" s="30">
        <v>790</v>
      </c>
      <c r="G229" s="25"/>
      <c r="H229" s="17">
        <f>Global[[#This Row],[Investment - Identified (US$m)]]+Global[[#This Row],[Investment - Estimated (US$m)]]</f>
        <v>790</v>
      </c>
      <c r="I229" t="s">
        <v>874</v>
      </c>
      <c r="J229" t="s">
        <v>249</v>
      </c>
      <c r="K229" t="s">
        <v>844</v>
      </c>
      <c r="L229" t="s">
        <v>597</v>
      </c>
      <c r="M229" t="s">
        <v>18</v>
      </c>
      <c r="N229" s="7" t="s">
        <v>778</v>
      </c>
      <c r="O229" s="15">
        <v>45748</v>
      </c>
      <c r="P229" s="6" t="s">
        <v>717</v>
      </c>
    </row>
    <row r="230" spans="1:17" x14ac:dyDescent="0.2">
      <c r="A230" t="s">
        <v>11</v>
      </c>
      <c r="B230" t="s">
        <v>438</v>
      </c>
      <c r="C230" t="s">
        <v>25</v>
      </c>
      <c r="D230" t="s">
        <v>981</v>
      </c>
      <c r="F230" s="30">
        <v>260</v>
      </c>
      <c r="G230" s="25"/>
      <c r="H230" s="17">
        <f>Global[[#This Row],[Investment - Identified (US$m)]]+Global[[#This Row],[Investment - Estimated (US$m)]]</f>
        <v>260</v>
      </c>
      <c r="J230" t="s">
        <v>77</v>
      </c>
      <c r="K230" t="s">
        <v>844</v>
      </c>
      <c r="L230" t="s">
        <v>598</v>
      </c>
      <c r="M230" t="s">
        <v>18</v>
      </c>
      <c r="N230" s="7" t="s">
        <v>55</v>
      </c>
      <c r="O230" s="15">
        <v>45748</v>
      </c>
      <c r="P230" s="6" t="s">
        <v>718</v>
      </c>
      <c r="Q230" s="6" t="s">
        <v>982</v>
      </c>
    </row>
    <row r="231" spans="1:17" x14ac:dyDescent="0.2">
      <c r="A231" t="s">
        <v>11</v>
      </c>
      <c r="B231" t="s">
        <v>438</v>
      </c>
      <c r="C231" t="s">
        <v>26</v>
      </c>
      <c r="D231" t="s">
        <v>496</v>
      </c>
      <c r="F231" s="33"/>
      <c r="G231" s="25"/>
      <c r="H231" s="17">
        <f>Global[[#This Row],[Investment - Identified (US$m)]]+Global[[#This Row],[Investment - Estimated (US$m)]]</f>
        <v>0</v>
      </c>
      <c r="J231" t="s">
        <v>530</v>
      </c>
      <c r="K231" t="s">
        <v>30</v>
      </c>
      <c r="L231" t="s">
        <v>599</v>
      </c>
      <c r="M231" t="s">
        <v>22</v>
      </c>
      <c r="N231" s="7" t="s">
        <v>55</v>
      </c>
      <c r="O231" s="15">
        <v>45323</v>
      </c>
      <c r="P231" t="s">
        <v>719</v>
      </c>
    </row>
    <row r="232" spans="1:17" x14ac:dyDescent="0.2">
      <c r="A232" t="s">
        <v>11</v>
      </c>
      <c r="B232" t="s">
        <v>439</v>
      </c>
      <c r="D232" t="s">
        <v>55</v>
      </c>
      <c r="F232" s="32"/>
      <c r="G232" s="25"/>
      <c r="H232" s="17">
        <f>Global[[#This Row],[Investment - Identified (US$m)]]+Global[[#This Row],[Investment - Estimated (US$m)]]</f>
        <v>0</v>
      </c>
      <c r="J232" t="s">
        <v>536</v>
      </c>
      <c r="K232" t="s">
        <v>965</v>
      </c>
      <c r="L232" t="s">
        <v>600</v>
      </c>
      <c r="M232" t="s">
        <v>24</v>
      </c>
      <c r="N232" s="7" t="s">
        <v>55</v>
      </c>
      <c r="O232" s="11">
        <v>45413</v>
      </c>
      <c r="P232" s="6" t="s">
        <v>720</v>
      </c>
    </row>
    <row r="233" spans="1:17" x14ac:dyDescent="0.2">
      <c r="A233" t="s">
        <v>11</v>
      </c>
      <c r="B233" t="s">
        <v>439</v>
      </c>
      <c r="D233" t="s">
        <v>55</v>
      </c>
      <c r="F233" s="22">
        <v>1100</v>
      </c>
      <c r="G233" s="25"/>
      <c r="H233" s="17">
        <f>Global[[#This Row],[Investment - Identified (US$m)]]+Global[[#This Row],[Investment - Estimated (US$m)]]</f>
        <v>1100</v>
      </c>
      <c r="I233" t="s">
        <v>875</v>
      </c>
      <c r="J233" t="s">
        <v>139</v>
      </c>
      <c r="K233" t="s">
        <v>845</v>
      </c>
      <c r="L233" t="s">
        <v>594</v>
      </c>
      <c r="N233" s="7">
        <v>2028</v>
      </c>
      <c r="O233" s="11">
        <v>45809</v>
      </c>
      <c r="P233" s="6" t="s">
        <v>721</v>
      </c>
    </row>
    <row r="234" spans="1:17" x14ac:dyDescent="0.2">
      <c r="A234" t="s">
        <v>11</v>
      </c>
      <c r="B234" t="s">
        <v>440</v>
      </c>
      <c r="D234" t="s">
        <v>55</v>
      </c>
      <c r="F234" s="32">
        <v>280</v>
      </c>
      <c r="G234" s="25"/>
      <c r="H234" s="17">
        <f>Global[[#This Row],[Investment - Identified (US$m)]]+Global[[#This Row],[Investment - Estimated (US$m)]]</f>
        <v>280</v>
      </c>
      <c r="I234" t="s">
        <v>876</v>
      </c>
      <c r="J234" t="s">
        <v>536</v>
      </c>
      <c r="K234" t="s">
        <v>965</v>
      </c>
      <c r="L234" t="s">
        <v>601</v>
      </c>
      <c r="M234" t="s">
        <v>20</v>
      </c>
      <c r="N234" s="7" t="s">
        <v>55</v>
      </c>
      <c r="O234" s="11">
        <v>45809</v>
      </c>
      <c r="P234" s="6" t="s">
        <v>722</v>
      </c>
    </row>
    <row r="235" spans="1:17" x14ac:dyDescent="0.2">
      <c r="A235" t="s">
        <v>11</v>
      </c>
      <c r="B235" t="s">
        <v>440</v>
      </c>
      <c r="D235" t="s">
        <v>55</v>
      </c>
      <c r="F235" s="32">
        <v>200</v>
      </c>
      <c r="G235" s="25"/>
      <c r="H235" s="17">
        <f>Global[[#This Row],[Investment - Identified (US$m)]]+Global[[#This Row],[Investment - Estimated (US$m)]]</f>
        <v>200</v>
      </c>
      <c r="I235" t="s">
        <v>877</v>
      </c>
      <c r="J235" t="s">
        <v>529</v>
      </c>
      <c r="K235" t="s">
        <v>28</v>
      </c>
      <c r="L235" t="s">
        <v>602</v>
      </c>
      <c r="M235" t="s">
        <v>20</v>
      </c>
      <c r="N235" s="7" t="s">
        <v>55</v>
      </c>
      <c r="O235" s="11">
        <v>45962</v>
      </c>
      <c r="P235" s="6" t="s">
        <v>723</v>
      </c>
    </row>
    <row r="236" spans="1:17" x14ac:dyDescent="0.2">
      <c r="A236" t="s">
        <v>11</v>
      </c>
      <c r="B236" t="s">
        <v>441</v>
      </c>
      <c r="D236" t="s">
        <v>497</v>
      </c>
      <c r="F236" s="33">
        <f>600*EURUSD</f>
        <v>666.00000000000011</v>
      </c>
      <c r="G236" s="25"/>
      <c r="H236" s="17">
        <f>Global[[#This Row],[Investment - Identified (US$m)]]+Global[[#This Row],[Investment - Estimated (US$m)]]</f>
        <v>666.00000000000011</v>
      </c>
      <c r="J236" t="s">
        <v>537</v>
      </c>
      <c r="K236" t="s">
        <v>30</v>
      </c>
      <c r="L236" t="s">
        <v>603</v>
      </c>
      <c r="N236" s="7" t="s">
        <v>55</v>
      </c>
      <c r="O236" s="11">
        <v>45413</v>
      </c>
      <c r="P236" t="s">
        <v>724</v>
      </c>
    </row>
    <row r="237" spans="1:17" x14ac:dyDescent="0.2">
      <c r="A237" t="s">
        <v>11</v>
      </c>
      <c r="B237" t="s">
        <v>442</v>
      </c>
      <c r="D237" t="s">
        <v>498</v>
      </c>
      <c r="F237" s="32"/>
      <c r="G237" s="25">
        <f>1500/2*Euro</f>
        <v>0</v>
      </c>
      <c r="H237" s="17">
        <f>Global[[#This Row],[Investment - Identified (US$m)]]+Global[[#This Row],[Investment - Estimated (US$m)]]</f>
        <v>0</v>
      </c>
      <c r="I237" t="s">
        <v>878</v>
      </c>
      <c r="J237" t="s">
        <v>537</v>
      </c>
      <c r="K237" t="s">
        <v>30</v>
      </c>
      <c r="L237" t="s">
        <v>604</v>
      </c>
      <c r="M237" t="s">
        <v>18</v>
      </c>
      <c r="N237" s="7" t="s">
        <v>779</v>
      </c>
      <c r="O237" s="11">
        <v>45627</v>
      </c>
      <c r="P237" t="s">
        <v>725</v>
      </c>
    </row>
    <row r="238" spans="1:17" x14ac:dyDescent="0.2">
      <c r="A238" t="s">
        <v>11</v>
      </c>
      <c r="B238" t="s">
        <v>442</v>
      </c>
      <c r="D238" t="s">
        <v>498</v>
      </c>
      <c r="F238" s="32"/>
      <c r="G238" s="25">
        <f>G237</f>
        <v>0</v>
      </c>
      <c r="H238" s="17">
        <f>Global[[#This Row],[Investment - Identified (US$m)]]+Global[[#This Row],[Investment - Estimated (US$m)]]</f>
        <v>0</v>
      </c>
      <c r="I238" t="s">
        <v>878</v>
      </c>
      <c r="J238" t="s">
        <v>537</v>
      </c>
      <c r="K238" s="4" t="s">
        <v>30</v>
      </c>
      <c r="L238" t="s">
        <v>962</v>
      </c>
      <c r="M238" t="s">
        <v>18</v>
      </c>
      <c r="N238" s="7" t="s">
        <v>780</v>
      </c>
      <c r="O238" s="15">
        <v>45992</v>
      </c>
      <c r="P238" s="6" t="s">
        <v>726</v>
      </c>
    </row>
    <row r="239" spans="1:17" x14ac:dyDescent="0.2">
      <c r="A239" t="s">
        <v>11</v>
      </c>
      <c r="B239" t="s">
        <v>443</v>
      </c>
      <c r="D239" t="s">
        <v>55</v>
      </c>
      <c r="F239" s="32">
        <f>1000*EURUSD</f>
        <v>1110</v>
      </c>
      <c r="G239" s="25"/>
      <c r="H239" s="17">
        <f>Global[[#This Row],[Investment - Identified (US$m)]]+Global[[#This Row],[Investment - Estimated (US$m)]]</f>
        <v>1110</v>
      </c>
      <c r="I239" t="s">
        <v>880</v>
      </c>
      <c r="J239" t="s">
        <v>879</v>
      </c>
      <c r="K239" s="4" t="s">
        <v>30</v>
      </c>
      <c r="L239" t="s">
        <v>605</v>
      </c>
      <c r="M239" t="s">
        <v>20</v>
      </c>
      <c r="N239" s="7">
        <v>2026</v>
      </c>
      <c r="O239" s="15">
        <v>45870</v>
      </c>
      <c r="P239" t="s">
        <v>727</v>
      </c>
      <c r="Q239" s="6" t="s">
        <v>975</v>
      </c>
    </row>
    <row r="240" spans="1:17" x14ac:dyDescent="0.2">
      <c r="A240" t="s">
        <v>11</v>
      </c>
      <c r="B240" t="s">
        <v>443</v>
      </c>
      <c r="D240" t="s">
        <v>55</v>
      </c>
      <c r="F240" s="32">
        <v>362</v>
      </c>
      <c r="G240" s="25"/>
      <c r="H240" s="17">
        <f>Global[[#This Row],[Investment - Identified (US$m)]]+Global[[#This Row],[Investment - Estimated (US$m)]]</f>
        <v>362</v>
      </c>
      <c r="I240" t="s">
        <v>977</v>
      </c>
      <c r="J240" t="s">
        <v>77</v>
      </c>
      <c r="K240" t="s">
        <v>844</v>
      </c>
      <c r="L240" t="s">
        <v>606</v>
      </c>
      <c r="M240" t="s">
        <v>21</v>
      </c>
      <c r="N240" s="7">
        <v>2025</v>
      </c>
      <c r="O240" s="15">
        <v>45658</v>
      </c>
      <c r="P240" s="6" t="s">
        <v>728</v>
      </c>
      <c r="Q240" s="6" t="s">
        <v>976</v>
      </c>
    </row>
    <row r="241" spans="1:18" x14ac:dyDescent="0.2">
      <c r="A241" t="s">
        <v>11</v>
      </c>
      <c r="B241" t="s">
        <v>444</v>
      </c>
      <c r="D241" t="s">
        <v>55</v>
      </c>
      <c r="F241" s="32">
        <v>136</v>
      </c>
      <c r="G241" s="25"/>
      <c r="H241" s="17">
        <f>Global[[#This Row],[Investment - Identified (US$m)]]+Global[[#This Row],[Investment - Estimated (US$m)]]</f>
        <v>136</v>
      </c>
      <c r="J241" t="s">
        <v>250</v>
      </c>
      <c r="K241" s="4" t="s">
        <v>30</v>
      </c>
      <c r="L241" t="s">
        <v>607</v>
      </c>
      <c r="M241" t="s">
        <v>18</v>
      </c>
      <c r="N241" s="7">
        <v>2027</v>
      </c>
      <c r="O241" s="15">
        <v>45383</v>
      </c>
      <c r="P241" t="s">
        <v>729</v>
      </c>
    </row>
    <row r="242" spans="1:18" x14ac:dyDescent="0.2">
      <c r="A242" t="s">
        <v>11</v>
      </c>
      <c r="B242" t="s">
        <v>444</v>
      </c>
      <c r="D242" t="s">
        <v>55</v>
      </c>
      <c r="F242" s="31">
        <v>133</v>
      </c>
      <c r="G242" s="25"/>
      <c r="H242" s="17">
        <f>Global[[#This Row],[Investment - Identified (US$m)]]+Global[[#This Row],[Investment - Estimated (US$m)]]</f>
        <v>133</v>
      </c>
      <c r="J242" t="s">
        <v>255</v>
      </c>
      <c r="K242" t="s">
        <v>844</v>
      </c>
      <c r="L242" t="s">
        <v>608</v>
      </c>
      <c r="M242" t="s">
        <v>18</v>
      </c>
      <c r="N242" s="7">
        <v>2027</v>
      </c>
      <c r="O242" s="15">
        <v>45839</v>
      </c>
      <c r="P242" s="6" t="s">
        <v>730</v>
      </c>
    </row>
    <row r="243" spans="1:18" x14ac:dyDescent="0.2">
      <c r="A243" t="s">
        <v>11</v>
      </c>
      <c r="B243" t="s">
        <v>997</v>
      </c>
      <c r="D243" t="s">
        <v>55</v>
      </c>
      <c r="F243" s="31"/>
      <c r="G243" s="25"/>
      <c r="H243" s="17">
        <f>Global[[#This Row],[Investment - Identified (US$m)]]+Global[[#This Row],[Investment - Estimated (US$m)]]</f>
        <v>0</v>
      </c>
      <c r="I243" t="s">
        <v>829</v>
      </c>
      <c r="J243" t="s">
        <v>828</v>
      </c>
      <c r="K243" t="s">
        <v>30</v>
      </c>
      <c r="L243" t="s">
        <v>1001</v>
      </c>
      <c r="M243" t="s">
        <v>21</v>
      </c>
      <c r="N243" s="7">
        <v>2020</v>
      </c>
      <c r="O243" s="15">
        <v>44682</v>
      </c>
      <c r="P243" s="6" t="s">
        <v>998</v>
      </c>
    </row>
    <row r="244" spans="1:18" x14ac:dyDescent="0.2">
      <c r="A244" t="s">
        <v>11</v>
      </c>
      <c r="B244" t="s">
        <v>997</v>
      </c>
      <c r="D244" t="s">
        <v>55</v>
      </c>
      <c r="F244" s="31">
        <v>916</v>
      </c>
      <c r="G244" s="25"/>
      <c r="H244" s="17">
        <f>Global[[#This Row],[Investment - Identified (US$m)]]+Global[[#This Row],[Investment - Estimated (US$m)]]</f>
        <v>916</v>
      </c>
      <c r="I244" t="s">
        <v>999</v>
      </c>
      <c r="J244" t="s">
        <v>529</v>
      </c>
      <c r="K244" t="s">
        <v>28</v>
      </c>
      <c r="L244" t="s">
        <v>1001</v>
      </c>
      <c r="M244" t="s">
        <v>20</v>
      </c>
      <c r="N244" s="7">
        <v>2026</v>
      </c>
      <c r="O244" s="15">
        <v>45748</v>
      </c>
      <c r="P244" s="6" t="s">
        <v>1000</v>
      </c>
      <c r="Q244" s="6" t="s">
        <v>1002</v>
      </c>
      <c r="R244" s="6" t="s">
        <v>1003</v>
      </c>
    </row>
    <row r="245" spans="1:18" x14ac:dyDescent="0.2">
      <c r="A245" t="s">
        <v>11</v>
      </c>
      <c r="B245" t="s">
        <v>997</v>
      </c>
      <c r="D245" t="s">
        <v>55</v>
      </c>
      <c r="F245" s="31"/>
      <c r="G245" s="25">
        <v>200</v>
      </c>
      <c r="H245" s="17">
        <f>Global[[#This Row],[Investment - Identified (US$m)]]+Global[[#This Row],[Investment - Estimated (US$m)]]</f>
        <v>200</v>
      </c>
      <c r="I245" t="s">
        <v>1004</v>
      </c>
      <c r="J245" t="s">
        <v>249</v>
      </c>
      <c r="K245" t="s">
        <v>844</v>
      </c>
      <c r="L245" t="s">
        <v>1005</v>
      </c>
      <c r="M245" t="s">
        <v>20</v>
      </c>
      <c r="N245" s="7">
        <v>2026</v>
      </c>
      <c r="O245" s="15">
        <v>45748</v>
      </c>
      <c r="P245" s="6" t="s">
        <v>1006</v>
      </c>
      <c r="Q245" s="6"/>
      <c r="R245" s="6"/>
    </row>
    <row r="246" spans="1:18" x14ac:dyDescent="0.2">
      <c r="A246" t="s">
        <v>11</v>
      </c>
      <c r="B246" t="s">
        <v>445</v>
      </c>
      <c r="D246" t="s">
        <v>499</v>
      </c>
      <c r="F246" s="32">
        <v>290</v>
      </c>
      <c r="G246" s="25"/>
      <c r="H246" s="17">
        <f>Global[[#This Row],[Investment - Identified (US$m)]]+Global[[#This Row],[Investment - Estimated (US$m)]]</f>
        <v>290</v>
      </c>
      <c r="I246" t="s">
        <v>881</v>
      </c>
      <c r="J246" t="s">
        <v>250</v>
      </c>
      <c r="K246" s="4" t="s">
        <v>30</v>
      </c>
      <c r="L246" t="s">
        <v>603</v>
      </c>
      <c r="N246" s="7" t="s">
        <v>55</v>
      </c>
      <c r="O246" s="15">
        <v>45658</v>
      </c>
      <c r="P246" t="s">
        <v>731</v>
      </c>
    </row>
    <row r="247" spans="1:18" x14ac:dyDescent="0.2">
      <c r="A247" t="s">
        <v>11</v>
      </c>
      <c r="B247" t="s">
        <v>993</v>
      </c>
      <c r="C247" t="s">
        <v>25</v>
      </c>
      <c r="D247" t="s">
        <v>994</v>
      </c>
      <c r="F247" s="32">
        <f>800*EURUSD</f>
        <v>888.00000000000011</v>
      </c>
      <c r="G247" s="25"/>
      <c r="H247" s="17">
        <f>Global[[#This Row],[Investment - Identified (US$m)]]+Global[[#This Row],[Investment - Estimated (US$m)]]</f>
        <v>888.00000000000011</v>
      </c>
      <c r="I247" t="s">
        <v>882</v>
      </c>
      <c r="J247" t="s">
        <v>530</v>
      </c>
      <c r="K247" s="4" t="s">
        <v>30</v>
      </c>
      <c r="L247" t="s">
        <v>609</v>
      </c>
      <c r="M247" t="s">
        <v>20</v>
      </c>
      <c r="N247" s="7">
        <v>2027</v>
      </c>
      <c r="O247" s="15">
        <v>45992</v>
      </c>
      <c r="P247" t="s">
        <v>732</v>
      </c>
    </row>
    <row r="248" spans="1:18" x14ac:dyDescent="0.2">
      <c r="A248" t="s">
        <v>11</v>
      </c>
      <c r="B248" t="s">
        <v>446</v>
      </c>
      <c r="D248" t="s">
        <v>55</v>
      </c>
      <c r="F248" s="32">
        <f>100</f>
        <v>100</v>
      </c>
      <c r="G248" s="25"/>
      <c r="H248" s="17">
        <f>Global[[#This Row],[Investment - Identified (US$m)]]+Global[[#This Row],[Investment - Estimated (US$m)]]</f>
        <v>100</v>
      </c>
      <c r="I248" t="s">
        <v>865</v>
      </c>
      <c r="J248" t="s">
        <v>828</v>
      </c>
      <c r="K248" s="4" t="s">
        <v>30</v>
      </c>
      <c r="L248" t="s">
        <v>610</v>
      </c>
      <c r="N248" s="7">
        <v>2026</v>
      </c>
      <c r="O248" s="15">
        <v>45717</v>
      </c>
      <c r="P248" s="6" t="s">
        <v>733</v>
      </c>
    </row>
    <row r="249" spans="1:18" x14ac:dyDescent="0.2">
      <c r="A249" t="s">
        <v>11</v>
      </c>
      <c r="B249" t="s">
        <v>447</v>
      </c>
      <c r="D249" t="s">
        <v>55</v>
      </c>
      <c r="F249" s="32"/>
      <c r="G249" s="25"/>
      <c r="H249" s="17">
        <f>Global[[#This Row],[Investment - Identified (US$m)]]+Global[[#This Row],[Investment - Estimated (US$m)]]</f>
        <v>0</v>
      </c>
      <c r="I249" t="s">
        <v>883</v>
      </c>
      <c r="J249" t="s">
        <v>249</v>
      </c>
      <c r="K249" t="s">
        <v>844</v>
      </c>
      <c r="L249" t="s">
        <v>611</v>
      </c>
      <c r="N249" s="7">
        <v>2024</v>
      </c>
      <c r="O249" s="15">
        <v>45383</v>
      </c>
      <c r="P249" s="6" t="s">
        <v>734</v>
      </c>
    </row>
    <row r="250" spans="1:18" x14ac:dyDescent="0.2">
      <c r="A250" t="s">
        <v>11</v>
      </c>
      <c r="B250" t="s">
        <v>447</v>
      </c>
      <c r="C250" t="s">
        <v>25</v>
      </c>
      <c r="D250" t="s">
        <v>992</v>
      </c>
      <c r="F250" s="32">
        <f>290-F249</f>
        <v>290</v>
      </c>
      <c r="G250" s="25"/>
      <c r="H250" s="17">
        <f>Global[[#This Row],[Investment - Identified (US$m)]]+Global[[#This Row],[Investment - Estimated (US$m)]]</f>
        <v>290</v>
      </c>
      <c r="I250" t="s">
        <v>883</v>
      </c>
      <c r="J250" t="s">
        <v>249</v>
      </c>
      <c r="K250" t="s">
        <v>844</v>
      </c>
      <c r="L250" t="s">
        <v>612</v>
      </c>
      <c r="M250" t="s">
        <v>21</v>
      </c>
      <c r="N250" s="7">
        <v>2025</v>
      </c>
      <c r="O250" s="15">
        <v>45809</v>
      </c>
      <c r="P250" s="6" t="s">
        <v>735</v>
      </c>
    </row>
    <row r="251" spans="1:18" x14ac:dyDescent="0.2">
      <c r="A251" t="s">
        <v>11</v>
      </c>
      <c r="B251" t="s">
        <v>448</v>
      </c>
      <c r="D251" t="s">
        <v>500</v>
      </c>
      <c r="F251" s="32">
        <v>935</v>
      </c>
      <c r="G251" s="25"/>
      <c r="H251" s="17">
        <f>Global[[#This Row],[Investment - Identified (US$m)]]+Global[[#This Row],[Investment - Estimated (US$m)]]</f>
        <v>935</v>
      </c>
      <c r="I251" t="s">
        <v>884</v>
      </c>
      <c r="J251" t="s">
        <v>77</v>
      </c>
      <c r="K251" t="s">
        <v>844</v>
      </c>
      <c r="L251" t="s">
        <v>613</v>
      </c>
      <c r="N251" s="7">
        <v>2026</v>
      </c>
      <c r="O251" s="15">
        <v>45992</v>
      </c>
      <c r="P251" s="6" t="s">
        <v>736</v>
      </c>
    </row>
    <row r="252" spans="1:18" x14ac:dyDescent="0.2">
      <c r="A252" t="s">
        <v>11</v>
      </c>
      <c r="B252" t="s">
        <v>448</v>
      </c>
      <c r="D252" t="s">
        <v>501</v>
      </c>
      <c r="F252" s="32">
        <v>1400</v>
      </c>
      <c r="G252" s="25"/>
      <c r="H252" s="17">
        <f>Global[[#This Row],[Investment - Identified (US$m)]]+Global[[#This Row],[Investment - Estimated (US$m)]]</f>
        <v>1400</v>
      </c>
      <c r="I252" t="s">
        <v>885</v>
      </c>
      <c r="J252" t="s">
        <v>249</v>
      </c>
      <c r="K252" t="s">
        <v>844</v>
      </c>
      <c r="L252" t="s">
        <v>614</v>
      </c>
      <c r="O252" s="15">
        <v>45870</v>
      </c>
      <c r="P252" s="6" t="s">
        <v>737</v>
      </c>
    </row>
    <row r="253" spans="1:18" x14ac:dyDescent="0.2">
      <c r="A253" t="s">
        <v>11</v>
      </c>
      <c r="B253" t="s">
        <v>414</v>
      </c>
      <c r="D253" t="s">
        <v>502</v>
      </c>
      <c r="F253" s="32">
        <v>1000</v>
      </c>
      <c r="G253" s="25"/>
      <c r="H253" s="17">
        <f>Global[[#This Row],[Investment - Identified (US$m)]]+Global[[#This Row],[Investment - Estimated (US$m)]]</f>
        <v>1000</v>
      </c>
      <c r="J253" t="s">
        <v>538</v>
      </c>
      <c r="K253" t="s">
        <v>29</v>
      </c>
      <c r="L253" t="s">
        <v>615</v>
      </c>
      <c r="N253" s="7" t="s">
        <v>781</v>
      </c>
      <c r="O253" s="15">
        <v>45809</v>
      </c>
      <c r="P253" s="6" t="s">
        <v>738</v>
      </c>
    </row>
    <row r="254" spans="1:18" x14ac:dyDescent="0.2">
      <c r="A254" t="s">
        <v>11</v>
      </c>
      <c r="B254" t="s">
        <v>449</v>
      </c>
      <c r="F254" s="32">
        <v>168</v>
      </c>
      <c r="G254" s="25"/>
      <c r="H254" s="17">
        <f>Global[[#This Row],[Investment - Identified (US$m)]]+Global[[#This Row],[Investment - Estimated (US$m)]]</f>
        <v>168</v>
      </c>
      <c r="I254" t="s">
        <v>851</v>
      </c>
      <c r="J254" t="s">
        <v>529</v>
      </c>
      <c r="K254" t="s">
        <v>28</v>
      </c>
      <c r="L254" t="s">
        <v>616</v>
      </c>
      <c r="O254" s="15">
        <v>45536</v>
      </c>
      <c r="P254" s="6" t="s">
        <v>739</v>
      </c>
    </row>
    <row r="255" spans="1:18" x14ac:dyDescent="0.2">
      <c r="A255" t="s">
        <v>11</v>
      </c>
      <c r="B255" t="s">
        <v>450</v>
      </c>
      <c r="D255" t="s">
        <v>503</v>
      </c>
      <c r="F255" s="31">
        <v>12</v>
      </c>
      <c r="G255" s="25"/>
      <c r="H255" s="17">
        <f>Global[[#This Row],[Investment - Identified (US$m)]]+Global[[#This Row],[Investment - Estimated (US$m)]]</f>
        <v>12</v>
      </c>
      <c r="J255" t="s">
        <v>539</v>
      </c>
      <c r="K255" t="s">
        <v>965</v>
      </c>
      <c r="L255" t="s">
        <v>617</v>
      </c>
      <c r="N255" s="7" t="s">
        <v>55</v>
      </c>
      <c r="O255" s="15">
        <v>45748</v>
      </c>
      <c r="P255" s="6" t="s">
        <v>740</v>
      </c>
    </row>
    <row r="256" spans="1:18" x14ac:dyDescent="0.2">
      <c r="A256" t="s">
        <v>11</v>
      </c>
      <c r="B256" t="s">
        <v>988</v>
      </c>
      <c r="C256" t="s">
        <v>25</v>
      </c>
      <c r="D256" t="s">
        <v>989</v>
      </c>
      <c r="F256" s="31"/>
      <c r="G256" s="25"/>
      <c r="H256" s="17">
        <f>Global[[#This Row],[Investment - Identified (US$m)]]+Global[[#This Row],[Investment - Estimated (US$m)]]</f>
        <v>0</v>
      </c>
      <c r="I256" t="s">
        <v>990</v>
      </c>
      <c r="J256" t="s">
        <v>250</v>
      </c>
      <c r="K256" t="s">
        <v>30</v>
      </c>
      <c r="L256" t="s">
        <v>991</v>
      </c>
      <c r="M256" t="s">
        <v>22</v>
      </c>
      <c r="N256" s="7" t="s">
        <v>55</v>
      </c>
      <c r="O256" s="15">
        <v>45992</v>
      </c>
      <c r="P256" s="6"/>
    </row>
    <row r="257" spans="1:16" x14ac:dyDescent="0.2">
      <c r="A257" t="s">
        <v>12</v>
      </c>
      <c r="B257" t="s">
        <v>451</v>
      </c>
      <c r="D257" t="s">
        <v>504</v>
      </c>
      <c r="F257" s="22">
        <v>108</v>
      </c>
      <c r="G257" s="25"/>
      <c r="H257" s="17">
        <f>Global[[#This Row],[Investment - Identified (US$m)]]+Global[[#This Row],[Investment - Estimated (US$m)]]</f>
        <v>108</v>
      </c>
      <c r="I257" t="s">
        <v>886</v>
      </c>
      <c r="J257" t="s">
        <v>77</v>
      </c>
      <c r="K257" t="s">
        <v>844</v>
      </c>
      <c r="L257" t="s">
        <v>618</v>
      </c>
      <c r="N257" s="7">
        <v>2023</v>
      </c>
      <c r="O257" s="15">
        <v>45108</v>
      </c>
      <c r="P257" s="6" t="s">
        <v>741</v>
      </c>
    </row>
    <row r="258" spans="1:16" x14ac:dyDescent="0.2">
      <c r="A258" t="s">
        <v>13</v>
      </c>
      <c r="B258" t="s">
        <v>173</v>
      </c>
      <c r="D258" t="s">
        <v>505</v>
      </c>
      <c r="F258" s="22"/>
      <c r="G258" s="25">
        <v>95</v>
      </c>
      <c r="H258" s="17">
        <f>Global[[#This Row],[Investment - Identified (US$m)]]+Global[[#This Row],[Investment - Estimated (US$m)]]</f>
        <v>95</v>
      </c>
      <c r="J258" t="s">
        <v>74</v>
      </c>
      <c r="K258" s="4" t="s">
        <v>30</v>
      </c>
      <c r="L258" t="s">
        <v>619</v>
      </c>
      <c r="N258" s="7">
        <v>2025</v>
      </c>
      <c r="O258" s="15">
        <v>45323</v>
      </c>
    </row>
    <row r="259" spans="1:16" x14ac:dyDescent="0.2">
      <c r="A259" t="s">
        <v>13</v>
      </c>
      <c r="B259" t="s">
        <v>173</v>
      </c>
      <c r="D259" t="s">
        <v>55</v>
      </c>
      <c r="F259" s="22"/>
      <c r="G259" s="25">
        <f>660</f>
        <v>660</v>
      </c>
      <c r="H259" s="17">
        <f>Global[[#This Row],[Investment - Identified (US$m)]]+Global[[#This Row],[Investment - Estimated (US$m)]]</f>
        <v>660</v>
      </c>
      <c r="I259" t="s">
        <v>887</v>
      </c>
      <c r="J259" t="s">
        <v>79</v>
      </c>
      <c r="K259" t="s">
        <v>964</v>
      </c>
      <c r="L259" t="s">
        <v>620</v>
      </c>
      <c r="N259" s="7" t="s">
        <v>55</v>
      </c>
      <c r="O259" s="15">
        <v>45536</v>
      </c>
      <c r="P259" s="6" t="s">
        <v>742</v>
      </c>
    </row>
    <row r="260" spans="1:16" x14ac:dyDescent="0.2">
      <c r="A260" t="s">
        <v>13</v>
      </c>
      <c r="B260" t="s">
        <v>173</v>
      </c>
      <c r="D260" t="s">
        <v>55</v>
      </c>
      <c r="F260" s="22">
        <f>700*AUDUSD</f>
        <v>469</v>
      </c>
      <c r="G260" s="25"/>
      <c r="H260" s="17">
        <f>Global[[#This Row],[Investment - Identified (US$m)]]+Global[[#This Row],[Investment - Estimated (US$m)]]</f>
        <v>469</v>
      </c>
      <c r="I260" t="s">
        <v>888</v>
      </c>
      <c r="J260" t="s">
        <v>79</v>
      </c>
      <c r="K260" t="s">
        <v>964</v>
      </c>
      <c r="L260" t="s">
        <v>620</v>
      </c>
      <c r="N260" s="7">
        <v>2026</v>
      </c>
      <c r="O260" s="15">
        <v>45901</v>
      </c>
      <c r="P260" s="6" t="s">
        <v>743</v>
      </c>
    </row>
    <row r="261" spans="1:16" x14ac:dyDescent="0.2">
      <c r="A261" t="s">
        <v>13</v>
      </c>
      <c r="B261" t="s">
        <v>452</v>
      </c>
      <c r="D261" t="s">
        <v>506</v>
      </c>
      <c r="F261" s="22"/>
      <c r="G261" s="25">
        <v>200</v>
      </c>
      <c r="H261" s="17">
        <f>Global[[#This Row],[Investment - Identified (US$m)]]+Global[[#This Row],[Investment - Estimated (US$m)]]</f>
        <v>200</v>
      </c>
      <c r="J261" t="s">
        <v>260</v>
      </c>
      <c r="K261" t="s">
        <v>29</v>
      </c>
      <c r="L261" t="s">
        <v>621</v>
      </c>
      <c r="N261" s="7">
        <v>2025</v>
      </c>
      <c r="O261" s="15">
        <v>45444</v>
      </c>
    </row>
    <row r="262" spans="1:16" x14ac:dyDescent="0.2">
      <c r="A262" t="s">
        <v>13</v>
      </c>
      <c r="B262" t="s">
        <v>170</v>
      </c>
      <c r="D262" t="s">
        <v>507</v>
      </c>
      <c r="F262" s="22"/>
      <c r="G262" s="25">
        <v>150</v>
      </c>
      <c r="H262" s="17">
        <f>Global[[#This Row],[Investment - Identified (US$m)]]+Global[[#This Row],[Investment - Estimated (US$m)]]</f>
        <v>150</v>
      </c>
      <c r="I262" t="s">
        <v>890</v>
      </c>
      <c r="J262" t="s">
        <v>534</v>
      </c>
      <c r="K262" t="s">
        <v>28</v>
      </c>
      <c r="L262" t="s">
        <v>622</v>
      </c>
      <c r="N262" s="7">
        <v>2026</v>
      </c>
      <c r="O262" s="15">
        <v>45474</v>
      </c>
    </row>
    <row r="263" spans="1:16" x14ac:dyDescent="0.2">
      <c r="A263" t="s">
        <v>13</v>
      </c>
      <c r="B263" t="s">
        <v>170</v>
      </c>
      <c r="D263" t="s">
        <v>55</v>
      </c>
      <c r="F263" s="22">
        <v>183</v>
      </c>
      <c r="G263" s="25"/>
      <c r="H263" s="17">
        <f>Global[[#This Row],[Investment - Identified (US$m)]]+Global[[#This Row],[Investment - Estimated (US$m)]]</f>
        <v>183</v>
      </c>
      <c r="I263" t="s">
        <v>889</v>
      </c>
      <c r="J263" t="s">
        <v>529</v>
      </c>
      <c r="K263" t="s">
        <v>28</v>
      </c>
      <c r="L263" t="s">
        <v>623</v>
      </c>
      <c r="N263" s="7">
        <v>2025</v>
      </c>
      <c r="O263" s="15">
        <v>45717</v>
      </c>
      <c r="P263" s="6" t="s">
        <v>744</v>
      </c>
    </row>
    <row r="264" spans="1:16" x14ac:dyDescent="0.2">
      <c r="A264" t="s">
        <v>13</v>
      </c>
      <c r="B264" t="s">
        <v>453</v>
      </c>
      <c r="D264" t="s">
        <v>55</v>
      </c>
      <c r="F264" s="22"/>
      <c r="G264" s="25">
        <v>300</v>
      </c>
      <c r="H264" s="17">
        <f>Global[[#This Row],[Investment - Identified (US$m)]]+Global[[#This Row],[Investment - Estimated (US$m)]]</f>
        <v>300</v>
      </c>
      <c r="J264" t="s">
        <v>74</v>
      </c>
      <c r="K264" s="4" t="s">
        <v>30</v>
      </c>
      <c r="L264" t="s">
        <v>624</v>
      </c>
      <c r="N264" s="7">
        <v>2026</v>
      </c>
      <c r="O264" s="15">
        <v>45505</v>
      </c>
    </row>
    <row r="265" spans="1:16" x14ac:dyDescent="0.2">
      <c r="A265" t="s">
        <v>13</v>
      </c>
      <c r="B265" t="s">
        <v>43</v>
      </c>
      <c r="D265" t="s">
        <v>55</v>
      </c>
      <c r="F265" s="22"/>
      <c r="G265" s="25">
        <v>150</v>
      </c>
      <c r="H265" s="17">
        <f>Global[[#This Row],[Investment - Identified (US$m)]]+Global[[#This Row],[Investment - Estimated (US$m)]]</f>
        <v>150</v>
      </c>
      <c r="J265" t="s">
        <v>81</v>
      </c>
      <c r="K265" t="s">
        <v>31</v>
      </c>
      <c r="L265" t="s">
        <v>625</v>
      </c>
      <c r="N265" s="7">
        <v>2024</v>
      </c>
      <c r="O265" s="15">
        <v>45383</v>
      </c>
    </row>
    <row r="266" spans="1:16" x14ac:dyDescent="0.2">
      <c r="A266" t="s">
        <v>13</v>
      </c>
      <c r="B266" t="s">
        <v>43</v>
      </c>
      <c r="D266" t="s">
        <v>508</v>
      </c>
      <c r="F266" s="22"/>
      <c r="G266" s="25">
        <v>900</v>
      </c>
      <c r="H266" s="17">
        <f>Global[[#This Row],[Investment - Identified (US$m)]]+Global[[#This Row],[Investment - Estimated (US$m)]]</f>
        <v>900</v>
      </c>
      <c r="J266" t="s">
        <v>81</v>
      </c>
      <c r="K266" t="s">
        <v>31</v>
      </c>
      <c r="L266" t="s">
        <v>626</v>
      </c>
      <c r="N266" s="7" t="s">
        <v>55</v>
      </c>
      <c r="O266" s="15">
        <v>45292</v>
      </c>
    </row>
    <row r="267" spans="1:16" x14ac:dyDescent="0.2">
      <c r="A267" t="s">
        <v>13</v>
      </c>
      <c r="B267" t="s">
        <v>454</v>
      </c>
      <c r="D267" t="s">
        <v>509</v>
      </c>
      <c r="F267" s="22"/>
      <c r="G267" s="25">
        <v>500</v>
      </c>
      <c r="H267" s="17">
        <f>Global[[#This Row],[Investment - Identified (US$m)]]+Global[[#This Row],[Investment - Estimated (US$m)]]</f>
        <v>500</v>
      </c>
      <c r="J267" t="s">
        <v>80</v>
      </c>
      <c r="K267" s="4" t="s">
        <v>30</v>
      </c>
      <c r="L267" t="s">
        <v>627</v>
      </c>
      <c r="N267" s="7" t="s">
        <v>55</v>
      </c>
      <c r="O267" s="11">
        <v>45323</v>
      </c>
    </row>
    <row r="268" spans="1:16" x14ac:dyDescent="0.2">
      <c r="A268" t="s">
        <v>13</v>
      </c>
      <c r="B268" t="s">
        <v>126</v>
      </c>
      <c r="D268" t="s">
        <v>510</v>
      </c>
      <c r="F268" s="22"/>
      <c r="G268" s="25">
        <v>100</v>
      </c>
      <c r="H268" s="17">
        <f>Global[[#This Row],[Investment - Identified (US$m)]]+Global[[#This Row],[Investment - Estimated (US$m)]]</f>
        <v>100</v>
      </c>
      <c r="J268" t="s">
        <v>74</v>
      </c>
      <c r="K268" s="4" t="s">
        <v>30</v>
      </c>
      <c r="L268" t="s">
        <v>628</v>
      </c>
      <c r="N268" s="7">
        <v>2024</v>
      </c>
      <c r="O268" s="11">
        <v>45292</v>
      </c>
    </row>
    <row r="269" spans="1:16" x14ac:dyDescent="0.2">
      <c r="A269" t="s">
        <v>13</v>
      </c>
      <c r="B269" t="s">
        <v>433</v>
      </c>
      <c r="D269" t="s">
        <v>511</v>
      </c>
      <c r="F269" s="22"/>
      <c r="G269" s="25">
        <v>1500</v>
      </c>
      <c r="H269" s="17">
        <f>Global[[#This Row],[Investment - Identified (US$m)]]+Global[[#This Row],[Investment - Estimated (US$m)]]</f>
        <v>1500</v>
      </c>
      <c r="J269" t="s">
        <v>260</v>
      </c>
      <c r="K269" t="s">
        <v>29</v>
      </c>
      <c r="L269" t="s">
        <v>629</v>
      </c>
      <c r="N269" s="7">
        <v>2025</v>
      </c>
      <c r="O269" s="11">
        <v>45536</v>
      </c>
    </row>
    <row r="270" spans="1:16" x14ac:dyDescent="0.2">
      <c r="A270" t="s">
        <v>13</v>
      </c>
      <c r="B270" t="s">
        <v>452</v>
      </c>
      <c r="D270" t="s">
        <v>512</v>
      </c>
      <c r="F270" s="22"/>
      <c r="G270" s="25">
        <v>600</v>
      </c>
      <c r="H270" s="17">
        <f>Global[[#This Row],[Investment - Identified (US$m)]]+Global[[#This Row],[Investment - Estimated (US$m)]]</f>
        <v>600</v>
      </c>
      <c r="J270" t="s">
        <v>74</v>
      </c>
      <c r="K270" s="4" t="s">
        <v>30</v>
      </c>
      <c r="L270" t="s">
        <v>630</v>
      </c>
      <c r="N270" s="7" t="s">
        <v>55</v>
      </c>
      <c r="O270" s="11">
        <v>45536</v>
      </c>
    </row>
    <row r="271" spans="1:16" x14ac:dyDescent="0.2">
      <c r="A271" t="s">
        <v>13</v>
      </c>
      <c r="B271" t="s">
        <v>452</v>
      </c>
      <c r="D271" t="s">
        <v>513</v>
      </c>
      <c r="F271" s="22"/>
      <c r="G271" s="25">
        <v>500</v>
      </c>
      <c r="H271" s="17">
        <f>Global[[#This Row],[Investment - Identified (US$m)]]+Global[[#This Row],[Investment - Estimated (US$m)]]</f>
        <v>500</v>
      </c>
      <c r="I271" t="s">
        <v>889</v>
      </c>
      <c r="J271" t="s">
        <v>529</v>
      </c>
      <c r="K271" t="s">
        <v>28</v>
      </c>
      <c r="L271" t="s">
        <v>631</v>
      </c>
      <c r="N271" s="7">
        <v>2026</v>
      </c>
      <c r="O271" s="11">
        <v>45505</v>
      </c>
    </row>
    <row r="272" spans="1:16" x14ac:dyDescent="0.2">
      <c r="A272" t="s">
        <v>13</v>
      </c>
      <c r="B272" t="s">
        <v>452</v>
      </c>
      <c r="D272" t="s">
        <v>514</v>
      </c>
      <c r="F272" s="22"/>
      <c r="G272" s="25">
        <v>2000</v>
      </c>
      <c r="H272" s="17">
        <f>Global[[#This Row],[Investment - Identified (US$m)]]+Global[[#This Row],[Investment - Estimated (US$m)]]</f>
        <v>2000</v>
      </c>
      <c r="J272" t="s">
        <v>136</v>
      </c>
      <c r="K272" t="s">
        <v>845</v>
      </c>
      <c r="L272" t="s">
        <v>632</v>
      </c>
      <c r="N272" s="7">
        <v>2025</v>
      </c>
      <c r="O272" s="11">
        <v>45474</v>
      </c>
    </row>
    <row r="273" spans="1:17" x14ac:dyDescent="0.2">
      <c r="A273" t="s">
        <v>13</v>
      </c>
      <c r="B273" t="s">
        <v>455</v>
      </c>
      <c r="D273" t="s">
        <v>55</v>
      </c>
      <c r="F273" s="22"/>
      <c r="G273" s="25">
        <v>1000</v>
      </c>
      <c r="H273" s="17">
        <f>Global[[#This Row],[Investment - Identified (US$m)]]+Global[[#This Row],[Investment - Estimated (US$m)]]</f>
        <v>1000</v>
      </c>
      <c r="I273" t="s">
        <v>891</v>
      </c>
      <c r="J273" t="s">
        <v>136</v>
      </c>
      <c r="K273" t="s">
        <v>845</v>
      </c>
      <c r="L273" t="s">
        <v>633</v>
      </c>
      <c r="N273" s="7">
        <v>2024</v>
      </c>
      <c r="O273" s="11">
        <v>45536</v>
      </c>
      <c r="P273" s="6" t="s">
        <v>745</v>
      </c>
    </row>
    <row r="274" spans="1:17" x14ac:dyDescent="0.2">
      <c r="A274" t="s">
        <v>13</v>
      </c>
      <c r="B274" t="s">
        <v>456</v>
      </c>
      <c r="D274" t="s">
        <v>515</v>
      </c>
      <c r="F274" s="22"/>
      <c r="G274" s="25"/>
      <c r="H274" s="17">
        <f>Global[[#This Row],[Investment - Identified (US$m)]]+Global[[#This Row],[Investment - Estimated (US$m)]]</f>
        <v>0</v>
      </c>
      <c r="J274" t="s">
        <v>540</v>
      </c>
      <c r="L274" t="s">
        <v>634</v>
      </c>
      <c r="N274" s="7">
        <v>2025</v>
      </c>
      <c r="O274" s="11">
        <v>45658</v>
      </c>
      <c r="P274" t="s">
        <v>746</v>
      </c>
    </row>
    <row r="275" spans="1:17" x14ac:dyDescent="0.2">
      <c r="A275" t="s">
        <v>14</v>
      </c>
      <c r="B275" t="s">
        <v>457</v>
      </c>
      <c r="D275" t="s">
        <v>516</v>
      </c>
      <c r="F275" s="22">
        <v>159</v>
      </c>
      <c r="G275" s="25"/>
      <c r="H275" s="17">
        <f>Global[[#This Row],[Investment - Identified (US$m)]]+Global[[#This Row],[Investment - Estimated (US$m)]]</f>
        <v>159</v>
      </c>
      <c r="I275" t="s">
        <v>892</v>
      </c>
      <c r="J275" t="s">
        <v>249</v>
      </c>
      <c r="K275" t="s">
        <v>844</v>
      </c>
      <c r="L275" t="s">
        <v>635</v>
      </c>
      <c r="N275" s="7">
        <v>2028</v>
      </c>
      <c r="O275" s="11">
        <v>45901</v>
      </c>
      <c r="P275" s="6" t="s">
        <v>747</v>
      </c>
    </row>
    <row r="276" spans="1:17" x14ac:dyDescent="0.2">
      <c r="A276" t="s">
        <v>14</v>
      </c>
      <c r="B276" t="s">
        <v>1019</v>
      </c>
      <c r="D276" t="s">
        <v>55</v>
      </c>
      <c r="F276" s="22">
        <v>300</v>
      </c>
      <c r="G276" s="25"/>
      <c r="H276" s="17">
        <f>Global[[#This Row],[Investment - Identified (US$m)]]+Global[[#This Row],[Investment - Estimated (US$m)]]</f>
        <v>300</v>
      </c>
      <c r="I276" t="s">
        <v>893</v>
      </c>
      <c r="J276" t="s">
        <v>249</v>
      </c>
      <c r="K276" t="s">
        <v>844</v>
      </c>
      <c r="L276" t="s">
        <v>1020</v>
      </c>
      <c r="M276" t="s">
        <v>20</v>
      </c>
      <c r="N276" s="7">
        <v>2026</v>
      </c>
      <c r="O276" s="11">
        <v>45992</v>
      </c>
      <c r="P276" s="6" t="s">
        <v>748</v>
      </c>
    </row>
    <row r="277" spans="1:17" x14ac:dyDescent="0.2">
      <c r="A277" t="s">
        <v>14</v>
      </c>
      <c r="B277" t="s">
        <v>458</v>
      </c>
      <c r="D277" t="s">
        <v>55</v>
      </c>
      <c r="F277" s="22">
        <v>140</v>
      </c>
      <c r="G277" s="25"/>
      <c r="H277" s="17">
        <f>Global[[#This Row],[Investment - Identified (US$m)]]+Global[[#This Row],[Investment - Estimated (US$m)]]</f>
        <v>140</v>
      </c>
      <c r="I277" t="s">
        <v>894</v>
      </c>
      <c r="J277" t="s">
        <v>81</v>
      </c>
      <c r="K277" t="s">
        <v>31</v>
      </c>
      <c r="L277" t="s">
        <v>636</v>
      </c>
      <c r="N277" s="7">
        <v>2026</v>
      </c>
      <c r="O277" s="11">
        <v>45992</v>
      </c>
      <c r="P277" s="6" t="s">
        <v>749</v>
      </c>
    </row>
    <row r="278" spans="1:17" x14ac:dyDescent="0.2">
      <c r="A278" t="s">
        <v>14</v>
      </c>
      <c r="B278" t="s">
        <v>459</v>
      </c>
      <c r="D278" t="s">
        <v>55</v>
      </c>
      <c r="F278" s="22">
        <v>135</v>
      </c>
      <c r="G278" s="25"/>
      <c r="H278" s="17">
        <f>Global[[#This Row],[Investment - Identified (US$m)]]+Global[[#This Row],[Investment - Estimated (US$m)]]</f>
        <v>135</v>
      </c>
      <c r="I278" t="s">
        <v>895</v>
      </c>
      <c r="J278" t="s">
        <v>81</v>
      </c>
      <c r="K278" t="s">
        <v>31</v>
      </c>
      <c r="L278" t="s">
        <v>636</v>
      </c>
      <c r="N278" s="7">
        <v>2026</v>
      </c>
      <c r="O278" s="11">
        <v>45597</v>
      </c>
      <c r="P278" s="6" t="s">
        <v>750</v>
      </c>
    </row>
    <row r="279" spans="1:17" x14ac:dyDescent="0.2">
      <c r="A279" t="s">
        <v>14</v>
      </c>
      <c r="B279" t="s">
        <v>460</v>
      </c>
      <c r="D279" t="s">
        <v>517</v>
      </c>
      <c r="F279" s="22"/>
      <c r="G279" s="25"/>
      <c r="H279" s="17">
        <f>Global[[#This Row],[Investment - Identified (US$m)]]+Global[[#This Row],[Investment - Estimated (US$m)]]</f>
        <v>0</v>
      </c>
      <c r="I279" t="s">
        <v>896</v>
      </c>
      <c r="J279" t="s">
        <v>249</v>
      </c>
      <c r="K279" t="s">
        <v>844</v>
      </c>
      <c r="O279" s="11">
        <v>45931</v>
      </c>
      <c r="P279" s="6" t="s">
        <v>751</v>
      </c>
    </row>
    <row r="280" spans="1:17" x14ac:dyDescent="0.2">
      <c r="A280" t="s">
        <v>15</v>
      </c>
      <c r="B280" t="s">
        <v>52</v>
      </c>
      <c r="D280" t="s">
        <v>518</v>
      </c>
      <c r="F280" s="21">
        <v>1000</v>
      </c>
      <c r="G280" s="25"/>
      <c r="H280" s="17">
        <f>Global[[#This Row],[Investment - Identified (US$m)]]+Global[[#This Row],[Investment - Estimated (US$m)]]</f>
        <v>1000</v>
      </c>
      <c r="I280" t="s">
        <v>897</v>
      </c>
      <c r="J280" t="s">
        <v>75</v>
      </c>
      <c r="K280" s="9" t="s">
        <v>29</v>
      </c>
      <c r="L280" t="s">
        <v>637</v>
      </c>
      <c r="M280" t="s">
        <v>18</v>
      </c>
      <c r="N280" s="7">
        <v>2030</v>
      </c>
      <c r="O280" s="11">
        <v>45839</v>
      </c>
      <c r="P280" s="6" t="s">
        <v>752</v>
      </c>
    </row>
    <row r="281" spans="1:17" x14ac:dyDescent="0.2">
      <c r="A281" t="s">
        <v>15</v>
      </c>
      <c r="B281" t="s">
        <v>452</v>
      </c>
      <c r="D281" t="s">
        <v>519</v>
      </c>
      <c r="F281" s="21"/>
      <c r="G281" s="25"/>
      <c r="H281" s="17">
        <f>Global[[#This Row],[Investment - Identified (US$m)]]+Global[[#This Row],[Investment - Estimated (US$m)]]</f>
        <v>0</v>
      </c>
      <c r="J281" t="s">
        <v>139</v>
      </c>
      <c r="K281" t="s">
        <v>845</v>
      </c>
      <c r="L281" t="s">
        <v>638</v>
      </c>
      <c r="M281" t="s">
        <v>18</v>
      </c>
      <c r="N281" s="7" t="s">
        <v>55</v>
      </c>
      <c r="O281" s="11">
        <v>45870</v>
      </c>
      <c r="P281" s="6" t="s">
        <v>753</v>
      </c>
      <c r="Q281" s="6" t="s">
        <v>940</v>
      </c>
    </row>
    <row r="282" spans="1:17" x14ac:dyDescent="0.2">
      <c r="A282" t="s">
        <v>15</v>
      </c>
      <c r="B282" t="s">
        <v>236</v>
      </c>
      <c r="D282" t="s">
        <v>520</v>
      </c>
      <c r="F282" s="21"/>
      <c r="G282" s="25">
        <v>5100</v>
      </c>
      <c r="H282" s="17">
        <f>Global[[#This Row],[Investment - Identified (US$m)]]+Global[[#This Row],[Investment - Estimated (US$m)]]</f>
        <v>5100</v>
      </c>
      <c r="J282" t="s">
        <v>69</v>
      </c>
      <c r="K282" t="s">
        <v>965</v>
      </c>
      <c r="L282" t="s">
        <v>639</v>
      </c>
      <c r="N282" s="7" t="s">
        <v>55</v>
      </c>
      <c r="O282" s="11">
        <v>44986</v>
      </c>
      <c r="P282" s="6" t="s">
        <v>754</v>
      </c>
    </row>
    <row r="283" spans="1:17" x14ac:dyDescent="0.2">
      <c r="A283" t="s">
        <v>15</v>
      </c>
      <c r="B283" t="s">
        <v>461</v>
      </c>
      <c r="D283" t="s">
        <v>521</v>
      </c>
      <c r="F283" s="22"/>
      <c r="G283" s="25"/>
      <c r="H283" s="17">
        <f>Global[[#This Row],[Investment - Identified (US$m)]]+Global[[#This Row],[Investment - Estimated (US$m)]]</f>
        <v>0</v>
      </c>
      <c r="J283" t="s">
        <v>253</v>
      </c>
      <c r="K283" t="s">
        <v>965</v>
      </c>
      <c r="L283" t="s">
        <v>640</v>
      </c>
      <c r="M283" t="s">
        <v>18</v>
      </c>
      <c r="N283" s="7" t="s">
        <v>55</v>
      </c>
      <c r="O283" s="11">
        <v>45931</v>
      </c>
      <c r="P283" t="s">
        <v>755</v>
      </c>
      <c r="Q283" s="6" t="s">
        <v>939</v>
      </c>
    </row>
    <row r="284" spans="1:17" x14ac:dyDescent="0.2">
      <c r="A284" t="s">
        <v>16</v>
      </c>
      <c r="B284" t="s">
        <v>433</v>
      </c>
      <c r="D284" t="s">
        <v>522</v>
      </c>
      <c r="F284" s="22">
        <v>486</v>
      </c>
      <c r="G284" s="25"/>
      <c r="H284" s="17">
        <f>Global[[#This Row],[Investment - Identified (US$m)]]+Global[[#This Row],[Investment - Estimated (US$m)]]</f>
        <v>486</v>
      </c>
      <c r="J284" t="s">
        <v>254</v>
      </c>
      <c r="K284" t="s">
        <v>844</v>
      </c>
      <c r="L284" t="s">
        <v>641</v>
      </c>
      <c r="N284" s="7">
        <v>2024</v>
      </c>
      <c r="O284" s="11">
        <v>45474</v>
      </c>
    </row>
    <row r="285" spans="1:17" x14ac:dyDescent="0.2">
      <c r="A285" t="s">
        <v>16</v>
      </c>
      <c r="B285" t="s">
        <v>433</v>
      </c>
      <c r="D285" t="s">
        <v>523</v>
      </c>
      <c r="F285" s="22"/>
      <c r="G285" s="25">
        <v>250</v>
      </c>
      <c r="H285" s="17">
        <f>Global[[#This Row],[Investment - Identified (US$m)]]+Global[[#This Row],[Investment - Estimated (US$m)]]</f>
        <v>250</v>
      </c>
      <c r="J285" t="s">
        <v>81</v>
      </c>
      <c r="K285" t="s">
        <v>31</v>
      </c>
      <c r="L285" t="s">
        <v>642</v>
      </c>
      <c r="N285" s="7">
        <v>2024</v>
      </c>
      <c r="O285" s="11">
        <v>45444</v>
      </c>
    </row>
    <row r="286" spans="1:17" x14ac:dyDescent="0.2">
      <c r="A286" t="s">
        <v>16</v>
      </c>
      <c r="B286" t="s">
        <v>433</v>
      </c>
      <c r="D286" t="s">
        <v>524</v>
      </c>
      <c r="F286" s="22">
        <v>4500</v>
      </c>
      <c r="G286" s="25"/>
      <c r="H286" s="17">
        <f>Global[[#This Row],[Investment - Identified (US$m)]]+Global[[#This Row],[Investment - Estimated (US$m)]]</f>
        <v>4500</v>
      </c>
      <c r="I286" t="s">
        <v>898</v>
      </c>
      <c r="J286" t="s">
        <v>828</v>
      </c>
      <c r="K286" s="4" t="s">
        <v>30</v>
      </c>
      <c r="L286" t="s">
        <v>643</v>
      </c>
      <c r="M286" t="s">
        <v>21</v>
      </c>
      <c r="N286" s="7">
        <v>2026</v>
      </c>
      <c r="O286" s="11">
        <v>46054</v>
      </c>
      <c r="P286" t="s">
        <v>756</v>
      </c>
      <c r="Q286" s="6" t="s">
        <v>1296</v>
      </c>
    </row>
    <row r="287" spans="1:17" x14ac:dyDescent="0.2">
      <c r="A287" t="s">
        <v>16</v>
      </c>
      <c r="B287" t="s">
        <v>433</v>
      </c>
      <c r="D287" t="s">
        <v>55</v>
      </c>
      <c r="F287" s="22">
        <v>1000</v>
      </c>
      <c r="G287" s="25"/>
      <c r="H287" s="17">
        <f>Global[[#This Row],[Investment - Identified (US$m)]]+Global[[#This Row],[Investment - Estimated (US$m)]]</f>
        <v>1000</v>
      </c>
      <c r="I287" t="s">
        <v>899</v>
      </c>
      <c r="J287" t="s">
        <v>75</v>
      </c>
      <c r="K287" s="9" t="s">
        <v>29</v>
      </c>
      <c r="L287" t="s">
        <v>644</v>
      </c>
      <c r="M287" t="s">
        <v>21</v>
      </c>
      <c r="N287" s="7">
        <v>2025</v>
      </c>
      <c r="O287" s="11">
        <v>45839</v>
      </c>
      <c r="P287" s="6" t="s">
        <v>757</v>
      </c>
    </row>
    <row r="288" spans="1:17" x14ac:dyDescent="0.2">
      <c r="A288" t="s">
        <v>16</v>
      </c>
      <c r="B288" t="s">
        <v>433</v>
      </c>
      <c r="D288" t="s">
        <v>55</v>
      </c>
      <c r="F288" s="22">
        <v>972</v>
      </c>
      <c r="G288" s="25"/>
      <c r="H288" s="17">
        <f>Global[[#This Row],[Investment - Identified (US$m)]]+Global[[#This Row],[Investment - Estimated (US$m)]]</f>
        <v>972</v>
      </c>
      <c r="I288" t="s">
        <v>900</v>
      </c>
      <c r="J288" t="s">
        <v>75</v>
      </c>
      <c r="K288" s="9" t="s">
        <v>29</v>
      </c>
      <c r="L288" t="s">
        <v>645</v>
      </c>
      <c r="M288" t="s">
        <v>20</v>
      </c>
      <c r="N288" s="7">
        <v>2025</v>
      </c>
      <c r="O288" s="11">
        <v>45839</v>
      </c>
      <c r="P288" s="6" t="s">
        <v>758</v>
      </c>
    </row>
    <row r="289" spans="1:18" x14ac:dyDescent="0.2">
      <c r="A289" t="s">
        <v>16</v>
      </c>
      <c r="B289" t="s">
        <v>433</v>
      </c>
      <c r="D289" t="s">
        <v>55</v>
      </c>
      <c r="F289" s="22">
        <v>1300</v>
      </c>
      <c r="G289" s="25"/>
      <c r="H289" s="17">
        <f>Global[[#This Row],[Investment - Identified (US$m)]]+Global[[#This Row],[Investment - Estimated (US$m)]]</f>
        <v>1300</v>
      </c>
      <c r="I289" t="s">
        <v>1023</v>
      </c>
      <c r="J289" t="s">
        <v>249</v>
      </c>
      <c r="K289" t="s">
        <v>844</v>
      </c>
      <c r="L289" t="s">
        <v>641</v>
      </c>
      <c r="M289" t="s">
        <v>20</v>
      </c>
      <c r="N289" s="7">
        <v>2026</v>
      </c>
      <c r="O289" s="11">
        <v>46023</v>
      </c>
      <c r="P289" t="s">
        <v>759</v>
      </c>
      <c r="Q289" s="6" t="s">
        <v>1022</v>
      </c>
    </row>
    <row r="290" spans="1:18" x14ac:dyDescent="0.2">
      <c r="A290" t="s">
        <v>16</v>
      </c>
      <c r="B290" t="s">
        <v>433</v>
      </c>
      <c r="D290" t="s">
        <v>55</v>
      </c>
      <c r="F290" s="22">
        <v>1000</v>
      </c>
      <c r="G290" s="25"/>
      <c r="H290" s="17">
        <f>Global[[#This Row],[Investment - Identified (US$m)]]+Global[[#This Row],[Investment - Estimated (US$m)]]</f>
        <v>1000</v>
      </c>
      <c r="I290" t="s">
        <v>1298</v>
      </c>
      <c r="J290" t="s">
        <v>80</v>
      </c>
      <c r="K290" s="4" t="s">
        <v>30</v>
      </c>
      <c r="L290" t="s">
        <v>644</v>
      </c>
      <c r="M290" t="s">
        <v>20</v>
      </c>
      <c r="N290" s="7">
        <v>2026</v>
      </c>
      <c r="O290" s="11">
        <v>46054</v>
      </c>
      <c r="P290" t="s">
        <v>760</v>
      </c>
      <c r="Q290" s="6" t="s">
        <v>1296</v>
      </c>
      <c r="R290" s="6" t="s">
        <v>1297</v>
      </c>
    </row>
    <row r="291" spans="1:18" x14ac:dyDescent="0.2">
      <c r="A291" t="s">
        <v>16</v>
      </c>
      <c r="B291" t="s">
        <v>433</v>
      </c>
      <c r="D291" t="s">
        <v>55</v>
      </c>
      <c r="F291" s="22"/>
      <c r="G291" s="25">
        <v>1000</v>
      </c>
      <c r="H291" s="17">
        <f>Global[[#This Row],[Investment - Identified (US$m)]]+Global[[#This Row],[Investment - Estimated (US$m)]]</f>
        <v>1000</v>
      </c>
      <c r="J291" t="s">
        <v>541</v>
      </c>
      <c r="K291" s="9" t="s">
        <v>29</v>
      </c>
      <c r="L291" t="s">
        <v>641</v>
      </c>
      <c r="M291" t="s">
        <v>24</v>
      </c>
      <c r="N291" s="7" t="s">
        <v>55</v>
      </c>
      <c r="O291" s="11">
        <v>46054</v>
      </c>
      <c r="P291" s="6" t="s">
        <v>761</v>
      </c>
      <c r="Q291" s="6" t="s">
        <v>1299</v>
      </c>
      <c r="R291" s="6" t="s">
        <v>1300</v>
      </c>
    </row>
    <row r="292" spans="1:18" x14ac:dyDescent="0.2">
      <c r="A292" t="s">
        <v>16</v>
      </c>
      <c r="B292" t="s">
        <v>433</v>
      </c>
      <c r="D292" t="s">
        <v>55</v>
      </c>
      <c r="F292" s="22"/>
      <c r="G292" s="25"/>
      <c r="H292" s="17">
        <f>Global[[#This Row],[Investment - Identified (US$m)]]+Global[[#This Row],[Investment - Estimated (US$m)]]</f>
        <v>0</v>
      </c>
      <c r="J292" t="s">
        <v>531</v>
      </c>
      <c r="K292" s="4" t="s">
        <v>30</v>
      </c>
      <c r="M292" t="s">
        <v>18</v>
      </c>
      <c r="N292" s="7" t="s">
        <v>55</v>
      </c>
      <c r="O292" s="11">
        <v>45717</v>
      </c>
      <c r="P292" s="6" t="s">
        <v>762</v>
      </c>
    </row>
    <row r="293" spans="1:18" x14ac:dyDescent="0.2">
      <c r="A293" t="s">
        <v>16</v>
      </c>
      <c r="B293" t="s">
        <v>433</v>
      </c>
      <c r="D293" t="s">
        <v>55</v>
      </c>
      <c r="F293" s="22">
        <v>32</v>
      </c>
      <c r="G293" s="25"/>
      <c r="H293" s="17">
        <f>Global[[#This Row],[Investment - Identified (US$m)]]+Global[[#This Row],[Investment - Estimated (US$m)]]</f>
        <v>32</v>
      </c>
      <c r="J293" t="s">
        <v>259</v>
      </c>
      <c r="K293" t="s">
        <v>844</v>
      </c>
      <c r="L293" t="s">
        <v>646</v>
      </c>
      <c r="N293" s="7">
        <v>2025</v>
      </c>
      <c r="O293" s="11">
        <v>45748</v>
      </c>
      <c r="P293" s="6" t="s">
        <v>763</v>
      </c>
    </row>
    <row r="294" spans="1:18" x14ac:dyDescent="0.2">
      <c r="A294" t="s">
        <v>16</v>
      </c>
      <c r="B294" t="s">
        <v>433</v>
      </c>
      <c r="D294" t="s">
        <v>55</v>
      </c>
      <c r="F294" s="22">
        <v>94</v>
      </c>
      <c r="G294" s="25"/>
      <c r="H294" s="17">
        <f>Global[[#This Row],[Investment - Identified (US$m)]]+Global[[#This Row],[Investment - Estimated (US$m)]]</f>
        <v>94</v>
      </c>
      <c r="I294" t="s">
        <v>901</v>
      </c>
      <c r="J294" t="s">
        <v>828</v>
      </c>
      <c r="K294" s="4" t="s">
        <v>30</v>
      </c>
      <c r="L294" t="s">
        <v>647</v>
      </c>
      <c r="N294" s="7">
        <v>2026</v>
      </c>
      <c r="O294" s="11">
        <v>45809</v>
      </c>
      <c r="P294" s="6" t="s">
        <v>764</v>
      </c>
    </row>
    <row r="295" spans="1:18" x14ac:dyDescent="0.2">
      <c r="A295" t="s">
        <v>16</v>
      </c>
      <c r="B295" t="s">
        <v>433</v>
      </c>
      <c r="D295" t="s">
        <v>55</v>
      </c>
      <c r="F295" s="22"/>
      <c r="G295" s="25"/>
      <c r="H295" s="17">
        <f>Global[[#This Row],[Investment - Identified (US$m)]]+Global[[#This Row],[Investment - Estimated (US$m)]]</f>
        <v>0</v>
      </c>
      <c r="J295" t="s">
        <v>137</v>
      </c>
      <c r="K295" s="4" t="s">
        <v>844</v>
      </c>
      <c r="L295" t="s">
        <v>1024</v>
      </c>
      <c r="M295" t="s">
        <v>22</v>
      </c>
      <c r="O295" s="11">
        <v>46023</v>
      </c>
      <c r="P295" s="6" t="s">
        <v>1025</v>
      </c>
    </row>
    <row r="296" spans="1:18" x14ac:dyDescent="0.2">
      <c r="A296" t="s">
        <v>16</v>
      </c>
      <c r="B296" t="s">
        <v>433</v>
      </c>
      <c r="D296" t="s">
        <v>55</v>
      </c>
      <c r="F296" s="22"/>
      <c r="G296" s="25"/>
      <c r="H296" s="17">
        <f>Global[[#This Row],[Investment - Identified (US$m)]]+Global[[#This Row],[Investment - Estimated (US$m)]]</f>
        <v>0</v>
      </c>
      <c r="I296" t="s">
        <v>1311</v>
      </c>
      <c r="J296" t="s">
        <v>534</v>
      </c>
      <c r="K296" s="4" t="s">
        <v>28</v>
      </c>
      <c r="L296" t="s">
        <v>1024</v>
      </c>
      <c r="M296" t="s">
        <v>963</v>
      </c>
      <c r="O296" s="11">
        <v>46113</v>
      </c>
      <c r="P296" s="6" t="s">
        <v>1310</v>
      </c>
    </row>
    <row r="297" spans="1:18" x14ac:dyDescent="0.2">
      <c r="A297" t="s">
        <v>16</v>
      </c>
      <c r="B297" t="s">
        <v>462</v>
      </c>
      <c r="D297" t="s">
        <v>55</v>
      </c>
      <c r="F297" s="22"/>
      <c r="G297" s="25">
        <v>800</v>
      </c>
      <c r="H297" s="17">
        <f>Global[[#This Row],[Investment - Identified (US$m)]]+Global[[#This Row],[Investment - Estimated (US$m)]]</f>
        <v>800</v>
      </c>
      <c r="I297" t="s">
        <v>902</v>
      </c>
      <c r="J297" t="s">
        <v>75</v>
      </c>
      <c r="K297" s="9" t="s">
        <v>29</v>
      </c>
      <c r="L297" t="s">
        <v>953</v>
      </c>
      <c r="M297" t="s">
        <v>21</v>
      </c>
      <c r="N297" s="7">
        <v>2025</v>
      </c>
      <c r="O297" s="11">
        <v>45870</v>
      </c>
      <c r="P297" s="6" t="s">
        <v>765</v>
      </c>
      <c r="Q297" s="6" t="s">
        <v>952</v>
      </c>
    </row>
    <row r="298" spans="1:18" x14ac:dyDescent="0.2">
      <c r="A298" t="s">
        <v>16</v>
      </c>
      <c r="B298" t="s">
        <v>462</v>
      </c>
      <c r="D298" t="s">
        <v>55</v>
      </c>
      <c r="F298" s="22">
        <v>62</v>
      </c>
      <c r="G298" s="25"/>
      <c r="H298" s="17">
        <f>Global[[#This Row],[Investment - Identified (US$m)]]+Global[[#This Row],[Investment - Estimated (US$m)]]</f>
        <v>62</v>
      </c>
      <c r="I298" t="s">
        <v>834</v>
      </c>
      <c r="J298" t="s">
        <v>254</v>
      </c>
      <c r="K298" t="s">
        <v>844</v>
      </c>
      <c r="L298" t="s">
        <v>954</v>
      </c>
      <c r="M298" t="s">
        <v>21</v>
      </c>
      <c r="N298" s="7">
        <v>2023</v>
      </c>
      <c r="O298" s="11">
        <v>45748</v>
      </c>
      <c r="P298" s="6" t="s">
        <v>955</v>
      </c>
      <c r="Q298" s="6" t="s">
        <v>956</v>
      </c>
      <c r="R298" s="6" t="s">
        <v>957</v>
      </c>
    </row>
    <row r="299" spans="1:18" x14ac:dyDescent="0.2">
      <c r="A299" t="s">
        <v>16</v>
      </c>
      <c r="B299" t="s">
        <v>463</v>
      </c>
      <c r="D299" t="s">
        <v>525</v>
      </c>
      <c r="F299" s="22">
        <f>400*EURUSD</f>
        <v>444.00000000000006</v>
      </c>
      <c r="G299" s="25"/>
      <c r="H299" s="17">
        <f>Global[[#This Row],[Investment - Identified (US$m)]]+Global[[#This Row],[Investment - Estimated (US$m)]]</f>
        <v>444.00000000000006</v>
      </c>
      <c r="I299" t="s">
        <v>903</v>
      </c>
      <c r="J299" t="s">
        <v>250</v>
      </c>
      <c r="K299" s="4" t="s">
        <v>30</v>
      </c>
      <c r="L299" t="s">
        <v>642</v>
      </c>
      <c r="M299" t="s">
        <v>20</v>
      </c>
      <c r="N299" s="7">
        <v>2026</v>
      </c>
      <c r="O299" s="11">
        <v>46054</v>
      </c>
      <c r="P299" t="s">
        <v>1076</v>
      </c>
    </row>
    <row r="300" spans="1:18" x14ac:dyDescent="0.2">
      <c r="A300" t="s">
        <v>16</v>
      </c>
      <c r="B300" t="s">
        <v>463</v>
      </c>
      <c r="D300" t="s">
        <v>55</v>
      </c>
      <c r="F300" s="22"/>
      <c r="G300" s="25"/>
      <c r="H300" s="17">
        <f>Global[[#This Row],[Investment - Identified (US$m)]]+Global[[#This Row],[Investment - Estimated (US$m)]]</f>
        <v>0</v>
      </c>
      <c r="J300" t="s">
        <v>254</v>
      </c>
      <c r="K300" t="s">
        <v>844</v>
      </c>
      <c r="L300" t="s">
        <v>642</v>
      </c>
      <c r="N300" s="7">
        <v>2025</v>
      </c>
      <c r="O300" s="11">
        <v>45383</v>
      </c>
    </row>
    <row r="301" spans="1:18" x14ac:dyDescent="0.2">
      <c r="A301" t="s">
        <v>16</v>
      </c>
      <c r="B301" t="s">
        <v>464</v>
      </c>
      <c r="C301" t="s">
        <v>25</v>
      </c>
      <c r="D301" t="s">
        <v>1295</v>
      </c>
      <c r="F301" s="22">
        <v>300</v>
      </c>
      <c r="G301" s="25"/>
      <c r="H301" s="17">
        <f>Global[[#This Row],[Investment - Identified (US$m)]]+Global[[#This Row],[Investment - Estimated (US$m)]]</f>
        <v>300</v>
      </c>
      <c r="I301" t="s">
        <v>834</v>
      </c>
      <c r="J301" t="s">
        <v>254</v>
      </c>
      <c r="K301" t="s">
        <v>844</v>
      </c>
      <c r="L301" t="s">
        <v>648</v>
      </c>
      <c r="N301" s="7">
        <v>2025</v>
      </c>
      <c r="O301" s="11">
        <v>45809</v>
      </c>
      <c r="P301" s="6" t="s">
        <v>766</v>
      </c>
    </row>
    <row r="302" spans="1:18" x14ac:dyDescent="0.2">
      <c r="A302" t="s">
        <v>16</v>
      </c>
      <c r="B302" t="s">
        <v>1312</v>
      </c>
      <c r="C302" t="s">
        <v>25</v>
      </c>
      <c r="D302" t="s">
        <v>1313</v>
      </c>
      <c r="F302" s="22">
        <f>(330+440)/2</f>
        <v>385</v>
      </c>
      <c r="G302" s="25"/>
      <c r="H302" s="17">
        <f>Global[[#This Row],[Investment - Identified (US$m)]]+Global[[#This Row],[Investment - Estimated (US$m)]]</f>
        <v>385</v>
      </c>
      <c r="I302" t="s">
        <v>1316</v>
      </c>
      <c r="J302" t="s">
        <v>137</v>
      </c>
      <c r="K302" t="s">
        <v>844</v>
      </c>
      <c r="L302" t="s">
        <v>1314</v>
      </c>
      <c r="M302" t="s">
        <v>18</v>
      </c>
      <c r="N302" s="7">
        <v>2027</v>
      </c>
      <c r="O302" s="11">
        <v>46054</v>
      </c>
      <c r="P302" s="6" t="s">
        <v>1315</v>
      </c>
      <c r="Q302" s="6" t="s">
        <v>1317</v>
      </c>
    </row>
    <row r="303" spans="1:18" x14ac:dyDescent="0.2">
      <c r="A303" t="s">
        <v>16</v>
      </c>
      <c r="B303" t="s">
        <v>465</v>
      </c>
      <c r="D303" t="s">
        <v>526</v>
      </c>
      <c r="F303" s="22">
        <f>234*GBPUSD</f>
        <v>306.54000000000002</v>
      </c>
      <c r="G303" s="25"/>
      <c r="H303" s="17">
        <f>Global[[#This Row],[Investment - Identified (US$m)]]+Global[[#This Row],[Investment - Estimated (US$m)]]</f>
        <v>306.54000000000002</v>
      </c>
      <c r="J303" t="s">
        <v>74</v>
      </c>
      <c r="K303" s="4" t="s">
        <v>30</v>
      </c>
      <c r="L303" t="s">
        <v>649</v>
      </c>
      <c r="N303" s="7" t="s">
        <v>55</v>
      </c>
      <c r="O303" s="11">
        <v>45047</v>
      </c>
    </row>
    <row r="304" spans="1:18" x14ac:dyDescent="0.2">
      <c r="A304" t="s">
        <v>16</v>
      </c>
      <c r="B304" t="s">
        <v>465</v>
      </c>
      <c r="F304" s="22">
        <f>120</f>
        <v>120</v>
      </c>
      <c r="G304" s="25"/>
      <c r="H304" s="17">
        <f>Global[[#This Row],[Investment - Identified (US$m)]]+Global[[#This Row],[Investment - Estimated (US$m)]]</f>
        <v>120</v>
      </c>
      <c r="I304" t="s">
        <v>904</v>
      </c>
      <c r="J304" t="s">
        <v>74</v>
      </c>
      <c r="K304" s="4" t="s">
        <v>30</v>
      </c>
      <c r="L304" t="s">
        <v>650</v>
      </c>
      <c r="N304" s="7">
        <v>2024</v>
      </c>
      <c r="O304" s="11">
        <v>45505</v>
      </c>
      <c r="P304" s="6" t="s">
        <v>767</v>
      </c>
    </row>
    <row r="305" spans="1:17" x14ac:dyDescent="0.2">
      <c r="A305" t="s">
        <v>16</v>
      </c>
      <c r="B305" t="s">
        <v>465</v>
      </c>
      <c r="D305" t="s">
        <v>527</v>
      </c>
      <c r="F305" s="22"/>
      <c r="G305" s="25"/>
      <c r="H305" s="17">
        <f>Global[[#This Row],[Investment - Identified (US$m)]]+Global[[#This Row],[Investment - Estimated (US$m)]]</f>
        <v>0</v>
      </c>
      <c r="I305" t="s">
        <v>908</v>
      </c>
      <c r="J305" t="s">
        <v>75</v>
      </c>
      <c r="K305" s="9" t="s">
        <v>29</v>
      </c>
      <c r="L305" t="s">
        <v>651</v>
      </c>
      <c r="N305" s="7" t="s">
        <v>55</v>
      </c>
      <c r="O305" s="11">
        <v>45689</v>
      </c>
      <c r="P305" s="6" t="s">
        <v>768</v>
      </c>
    </row>
    <row r="306" spans="1:17" x14ac:dyDescent="0.2">
      <c r="A306" t="s">
        <v>16</v>
      </c>
      <c r="B306" t="s">
        <v>466</v>
      </c>
      <c r="D306" t="s">
        <v>527</v>
      </c>
      <c r="F306" s="22"/>
      <c r="G306" s="25"/>
      <c r="H306" s="17">
        <f>Global[[#This Row],[Investment - Identified (US$m)]]+Global[[#This Row],[Investment - Estimated (US$m)]]</f>
        <v>0</v>
      </c>
      <c r="I306" t="s">
        <v>906</v>
      </c>
      <c r="J306" t="s">
        <v>77</v>
      </c>
      <c r="K306" t="s">
        <v>844</v>
      </c>
      <c r="L306" t="s">
        <v>651</v>
      </c>
      <c r="N306" s="7" t="s">
        <v>55</v>
      </c>
      <c r="O306" s="11">
        <v>45689</v>
      </c>
      <c r="P306" s="6"/>
    </row>
    <row r="307" spans="1:17" x14ac:dyDescent="0.2">
      <c r="A307" t="s">
        <v>16</v>
      </c>
      <c r="B307" t="s">
        <v>465</v>
      </c>
      <c r="D307" t="s">
        <v>528</v>
      </c>
      <c r="F307" s="22"/>
      <c r="G307" s="25"/>
      <c r="H307" s="17">
        <f>Global[[#This Row],[Investment - Identified (US$m)]]+Global[[#This Row],[Investment - Estimated (US$m)]]</f>
        <v>0</v>
      </c>
      <c r="I307" t="s">
        <v>905</v>
      </c>
      <c r="J307" t="s">
        <v>249</v>
      </c>
      <c r="K307" t="s">
        <v>844</v>
      </c>
      <c r="L307" t="s">
        <v>652</v>
      </c>
      <c r="N307" s="7">
        <v>2025</v>
      </c>
      <c r="O307" s="11">
        <v>45931</v>
      </c>
      <c r="P307" s="6" t="s">
        <v>769</v>
      </c>
    </row>
    <row r="308" spans="1:17" x14ac:dyDescent="0.2">
      <c r="A308" t="s">
        <v>16</v>
      </c>
      <c r="B308" t="s">
        <v>425</v>
      </c>
      <c r="D308" t="s">
        <v>55</v>
      </c>
      <c r="F308" s="22">
        <f>1200*EURUSD</f>
        <v>1332.0000000000002</v>
      </c>
      <c r="G308" s="25"/>
      <c r="H308" s="17">
        <f>Global[[#This Row],[Investment - Identified (US$m)]]+Global[[#This Row],[Investment - Estimated (US$m)]]</f>
        <v>1332.0000000000002</v>
      </c>
      <c r="I308" t="s">
        <v>907</v>
      </c>
      <c r="J308" t="s">
        <v>839</v>
      </c>
      <c r="K308" s="4" t="s">
        <v>30</v>
      </c>
      <c r="L308" t="s">
        <v>653</v>
      </c>
      <c r="M308" t="s">
        <v>20</v>
      </c>
      <c r="N308" s="7">
        <v>2026</v>
      </c>
      <c r="O308" s="11">
        <v>45839</v>
      </c>
      <c r="P308" s="6" t="s">
        <v>770</v>
      </c>
    </row>
    <row r="309" spans="1:17" x14ac:dyDescent="0.2">
      <c r="A309" t="s">
        <v>16</v>
      </c>
      <c r="B309" t="s">
        <v>425</v>
      </c>
      <c r="D309" t="s">
        <v>1306</v>
      </c>
      <c r="F309" s="22">
        <v>274</v>
      </c>
      <c r="G309" s="25"/>
      <c r="H309" s="17">
        <f>Global[[#This Row],[Investment - Identified (US$m)]]+Global[[#This Row],[Investment - Estimated (US$m)]]</f>
        <v>274</v>
      </c>
      <c r="K309" s="4"/>
      <c r="L309" t="s">
        <v>1307</v>
      </c>
      <c r="M309" t="s">
        <v>1056</v>
      </c>
      <c r="N309" s="7">
        <v>2026</v>
      </c>
      <c r="O309" s="11">
        <v>46113</v>
      </c>
      <c r="P309" s="6" t="s">
        <v>1305</v>
      </c>
    </row>
    <row r="310" spans="1:17" x14ac:dyDescent="0.2">
      <c r="A310" t="s">
        <v>16</v>
      </c>
      <c r="B310" t="s">
        <v>467</v>
      </c>
      <c r="D310" t="s">
        <v>55</v>
      </c>
      <c r="F310" s="22"/>
      <c r="G310" s="25"/>
      <c r="H310" s="17">
        <f>Global[[#This Row],[Investment - Identified (US$m)]]+Global[[#This Row],[Investment - Estimated (US$m)]]</f>
        <v>0</v>
      </c>
      <c r="I310" t="s">
        <v>937</v>
      </c>
      <c r="J310" t="s">
        <v>249</v>
      </c>
      <c r="K310" t="s">
        <v>844</v>
      </c>
      <c r="L310" t="s">
        <v>936</v>
      </c>
      <c r="N310" s="7">
        <v>2025</v>
      </c>
      <c r="O310" s="11">
        <v>45717</v>
      </c>
      <c r="P310" s="6" t="s">
        <v>771</v>
      </c>
      <c r="Q310" s="6" t="s">
        <v>938</v>
      </c>
    </row>
    <row r="311" spans="1:17" x14ac:dyDescent="0.2">
      <c r="A311" t="s">
        <v>16</v>
      </c>
      <c r="B311" t="s">
        <v>468</v>
      </c>
      <c r="D311" t="s">
        <v>474</v>
      </c>
      <c r="F311" s="22"/>
      <c r="G311" s="25"/>
      <c r="H311" s="17">
        <f>Global[[#This Row],[Investment - Identified (US$m)]]+Global[[#This Row],[Investment - Estimated (US$m)]]</f>
        <v>0</v>
      </c>
      <c r="J311" t="s">
        <v>30</v>
      </c>
      <c r="K311" s="4" t="s">
        <v>30</v>
      </c>
      <c r="L311" t="s">
        <v>654</v>
      </c>
      <c r="M311" t="s">
        <v>23</v>
      </c>
      <c r="N311" s="7" t="s">
        <v>55</v>
      </c>
      <c r="O311" s="11">
        <v>45778</v>
      </c>
      <c r="P311" s="6" t="s">
        <v>772</v>
      </c>
    </row>
    <row r="312" spans="1:17" x14ac:dyDescent="0.2">
      <c r="A312" t="s">
        <v>16</v>
      </c>
      <c r="B312" t="s">
        <v>469</v>
      </c>
      <c r="D312" t="s">
        <v>508</v>
      </c>
      <c r="F312" s="22">
        <v>5600</v>
      </c>
      <c r="G312" s="25"/>
      <c r="H312" s="17">
        <f>Global[[#This Row],[Investment - Identified (US$m)]]+Global[[#This Row],[Investment - Estimated (US$m)]]</f>
        <v>5600</v>
      </c>
      <c r="J312" t="s">
        <v>136</v>
      </c>
      <c r="K312" t="s">
        <v>845</v>
      </c>
      <c r="L312" t="s">
        <v>655</v>
      </c>
      <c r="M312" t="s">
        <v>24</v>
      </c>
      <c r="N312" s="7" t="s">
        <v>55</v>
      </c>
      <c r="O312" s="11">
        <v>45078</v>
      </c>
      <c r="P312" t="s">
        <v>773</v>
      </c>
    </row>
    <row r="313" spans="1:17" x14ac:dyDescent="0.2">
      <c r="F313" s="22"/>
      <c r="G313" s="25"/>
      <c r="H313" s="17"/>
      <c r="O313" s="11"/>
    </row>
    <row r="314" spans="1:17" x14ac:dyDescent="0.2">
      <c r="A314" s="1" t="s">
        <v>910</v>
      </c>
      <c r="F314" s="29">
        <f>SUBTOTAL(109,Global[Investment - Identified (US$m)])</f>
        <v>175311.28413361171</v>
      </c>
      <c r="G314" s="29">
        <f>SUBTOTAL(109,Global[Investment - Estimated (US$m)])</f>
        <v>47754.5</v>
      </c>
      <c r="H314" s="17">
        <f>SUBTOTAL(109,Global[Investment Total (US$m)])</f>
        <v>223065.78413361171</v>
      </c>
    </row>
  </sheetData>
  <phoneticPr fontId="6" type="noConversion"/>
  <hyperlinks>
    <hyperlink ref="P4" r:id="rId1" xr:uid="{171A6936-D42F-C04F-A885-90819C3AB825}"/>
    <hyperlink ref="P9" r:id="rId2" xr:uid="{C5A439F3-C575-1A44-814B-BF79D269BD1A}"/>
    <hyperlink ref="P14" r:id="rId3" xr:uid="{26FA2FE7-B76D-2542-AE7B-21A31BF998B6}"/>
    <hyperlink ref="P15" r:id="rId4" xr:uid="{8ED18BAC-F4ED-ED40-9386-C455044DBB89}"/>
    <hyperlink ref="P19" r:id="rId5" xr:uid="{DAE7401C-0B4C-4745-B0A4-C90FB50DCDAB}"/>
    <hyperlink ref="P11" r:id="rId6" xr:uid="{AAF9B217-9952-7147-ACD9-2EC762AD51A5}"/>
    <hyperlink ref="P23" r:id="rId7" xr:uid="{D66CF5D1-4F5A-CA4E-9B9C-F5C64E2444FA}"/>
    <hyperlink ref="P8" r:id="rId8" xr:uid="{69DB3183-382A-9144-81A4-87E789364B1C}"/>
    <hyperlink ref="P7" r:id="rId9" xr:uid="{E5E6685D-F7EE-0648-BB4C-1F89857AF4DC}"/>
    <hyperlink ref="P5" r:id="rId10" xr:uid="{661C58CE-151E-B54F-97F4-BCE1CD653604}"/>
    <hyperlink ref="P29" r:id="rId11" xr:uid="{9EF5BC86-9B10-9642-80D7-46E286517F95}"/>
    <hyperlink ref="P32" r:id="rId12" xr:uid="{72A05EE4-5A45-C34F-BC53-0C9BDB7CD6A9}"/>
    <hyperlink ref="P37" r:id="rId13" xr:uid="{5564950D-9856-FF4C-B900-CE78A74D9FD6}"/>
    <hyperlink ref="P27" r:id="rId14" xr:uid="{2CD4A0BB-8464-E949-AB65-053919ABA1B9}"/>
    <hyperlink ref="P28" r:id="rId15" xr:uid="{28AD2402-13AE-2A42-B99A-2EE4EB2FC82A}"/>
    <hyperlink ref="P38" r:id="rId16" xr:uid="{73C7A06F-41CC-A648-929F-9A516F53D84C}"/>
    <hyperlink ref="P30" r:id="rId17" xr:uid="{F4798688-CCD1-C140-82E6-A8536DEA5BE8}"/>
    <hyperlink ref="P36" r:id="rId18" xr:uid="{7C16A3FA-39F9-7946-9AE5-F1667116C06A}"/>
    <hyperlink ref="P31" r:id="rId19" xr:uid="{CAE5FFCD-A318-6E42-8452-0AEBDD7A7F97}"/>
    <hyperlink ref="P34" r:id="rId20" xr:uid="{80817C58-6D8D-0446-BFED-628C96E8C962}"/>
    <hyperlink ref="P112" r:id="rId21" xr:uid="{06D5B10E-A88A-0F45-BE88-77E1A4C109C0}"/>
    <hyperlink ref="P101" r:id="rId22" display="https://www.ft.com/content/5a49c5dc-0d65-45d1-ab9a-66d8a7e71b56" xr:uid="{24F48FC2-C247-9043-9192-9914FDA80B8C}"/>
    <hyperlink ref="P153" r:id="rId23" display="https://kpl.gov.la/EN/detail.aspx?id=89662" xr:uid="{0D191C11-75F8-2F40-9B15-5A507B7C26F6}"/>
    <hyperlink ref="P113" r:id="rId24" xr:uid="{E898CD01-C256-0244-B218-EEE0446748E5}"/>
    <hyperlink ref="P114" r:id="rId25" xr:uid="{24187026-9689-0A49-9E61-9BA10ECB7A2B}"/>
    <hyperlink ref="P88" r:id="rId26" xr:uid="{57B43017-3854-6448-BA3E-691461A865DB}"/>
    <hyperlink ref="P89" r:id="rId27" xr:uid="{0FF4DF90-DB6B-F54D-81C9-383F994CC0A5}"/>
    <hyperlink ref="P119" r:id="rId28" xr:uid="{6301368F-7020-DC4D-8B13-5D4F20C365CD}"/>
    <hyperlink ref="P115" r:id="rId29" xr:uid="{1BB90CFA-EB62-8648-B9C4-48AD19C6E3B9}"/>
    <hyperlink ref="P116" r:id="rId30" xr:uid="{E7D6E8FB-288E-E24F-AC86-DB1EA2647F3D}"/>
    <hyperlink ref="P118" r:id="rId31" xr:uid="{15752341-96A9-D845-9828-F2202856FE69}"/>
    <hyperlink ref="P98" r:id="rId32" xr:uid="{1095302B-BED3-0E49-B01B-9A981ECC9D02}"/>
    <hyperlink ref="P121" r:id="rId33" xr:uid="{C514AE4F-D3CA-0E44-A3EF-FDB3F954B242}"/>
    <hyperlink ref="P117" r:id="rId34" xr:uid="{9CF5042B-C423-E345-AD40-34AEF39DBD1A}"/>
    <hyperlink ref="P82" r:id="rId35" xr:uid="{D40546CB-32C9-2345-9A63-AD2578024878}"/>
    <hyperlink ref="P134" r:id="rId36" xr:uid="{0D020701-5A85-4249-BC68-25A7D2F3BD68}"/>
    <hyperlink ref="P70" r:id="rId37" xr:uid="{59003C9B-116E-FF44-B1BF-5F08B57553D2}"/>
    <hyperlink ref="P122" r:id="rId38" xr:uid="{D318E6EE-F541-D649-977E-AA3DBDB1D6DB}"/>
    <hyperlink ref="P123" r:id="rId39" xr:uid="{CB5306AE-CA27-8D4F-B3FE-1644D23CCFC4}"/>
    <hyperlink ref="P85" r:id="rId40" xr:uid="{843B00D0-7D12-2A41-8DC2-9DABD774AD62}"/>
    <hyperlink ref="P109" r:id="rId41" xr:uid="{EDAF0320-B1A7-B949-B5D9-8468EA9B45ED}"/>
    <hyperlink ref="P150" r:id="rId42" xr:uid="{AFF2D6D9-137B-B442-B845-78870AB9B2A4}"/>
    <hyperlink ref="P47" r:id="rId43" xr:uid="{4FF46CA2-AE65-2549-9087-B1CD591181BE}"/>
    <hyperlink ref="P56" r:id="rId44" xr:uid="{BAF7CFA7-04B8-D842-A72A-2A5E24240E54}"/>
    <hyperlink ref="P57" r:id="rId45" xr:uid="{EA6B7118-45CC-4544-AD1B-D1BC47B8B9DE}"/>
    <hyperlink ref="P142" r:id="rId46" xr:uid="{DB14A4AA-C09C-DF40-835B-492167511DD7}"/>
    <hyperlink ref="P91" r:id="rId47" xr:uid="{83D90B5F-19F2-1345-865E-1C302E7E1CF5}"/>
    <hyperlink ref="P95" r:id="rId48" xr:uid="{43A484C6-2E0B-FA40-98E4-4AFC952BD20E}"/>
    <hyperlink ref="P129" r:id="rId49" xr:uid="{309ADF44-DC98-FD43-B2AE-69C6FCE9D25E}"/>
    <hyperlink ref="P120" r:id="rId50" xr:uid="{D8917F7B-0F42-1845-A056-DFD740A8C1FE}"/>
    <hyperlink ref="P103" r:id="rId51" xr:uid="{7705FA4C-3522-F246-8B91-C99B30826312}"/>
    <hyperlink ref="P130" r:id="rId52" xr:uid="{A546CDCD-BB4E-514A-8897-4D59F6F1A7BF}"/>
    <hyperlink ref="P131" r:id="rId53" xr:uid="{8C2661EF-6E31-F54F-9CE2-433E2E509B0E}"/>
    <hyperlink ref="P79" r:id="rId54" xr:uid="{7C96F130-81E3-D146-B370-50ADDC3A568F}"/>
    <hyperlink ref="P111" r:id="rId55" xr:uid="{B75E689E-595D-0347-99AA-664A8CCC1A30}"/>
    <hyperlink ref="P154" r:id="rId56" xr:uid="{DFC2BD58-46B5-6F4B-B128-2D9EA3C5F0BE}"/>
    <hyperlink ref="P155" r:id="rId57" xr:uid="{4A180358-D3D8-CF43-92CD-311439C08CCB}"/>
    <hyperlink ref="P152" r:id="rId58" xr:uid="{FCBF639D-8120-3444-95FD-31D6C92EB1F4}"/>
    <hyperlink ref="P138" r:id="rId59" xr:uid="{A1D2CAA6-CD6A-5940-8AAC-3236E355488C}"/>
    <hyperlink ref="P46" r:id="rId60" xr:uid="{E35A3AE5-EFA8-BD49-849B-7EEC0C1E8BAE}"/>
    <hyperlink ref="P55" r:id="rId61" xr:uid="{157280E9-3AE6-2E49-BB53-FC7E25AFB679}"/>
    <hyperlink ref="P76" r:id="rId62" xr:uid="{41752E6B-1047-3040-9C06-291A7C0E347F}"/>
    <hyperlink ref="P125" r:id="rId63" xr:uid="{223D849E-B192-E94B-8701-4945B3BA0E4E}"/>
    <hyperlink ref="P132" r:id="rId64" xr:uid="{E9B66F7E-BF76-D04E-A1D1-2CFEA37F81BE}"/>
    <hyperlink ref="P126" r:id="rId65" xr:uid="{71F575B5-1029-544E-91D2-4360CEC972E5}"/>
    <hyperlink ref="P127" r:id="rId66" xr:uid="{3117B083-CCF2-6C47-A38E-76CFAE8739A8}"/>
    <hyperlink ref="P146" r:id="rId67" xr:uid="{5228074E-3DA5-2D4D-931A-A0FA13253A82}"/>
    <hyperlink ref="P58" r:id="rId68" xr:uid="{8265F797-04E1-914A-9CF0-E7FAEF2396AC}"/>
    <hyperlink ref="P71" r:id="rId69" xr:uid="{0B1303A9-2707-B743-853C-73D2AB17F592}"/>
    <hyperlink ref="P74" r:id="rId70" xr:uid="{68050CF5-0873-CE48-AD49-C6CBAB331DC6}"/>
    <hyperlink ref="P104" r:id="rId71" xr:uid="{6C538A9F-08B7-E247-9A5A-9631A74992CC}"/>
    <hyperlink ref="P135" r:id="rId72" location=":~:text=Daniel%20Huang%20said%2C%20“We%20are,suppliers%20worldwide%20by%20Wood%20Mackenzie." xr:uid="{5E16B9A9-BB9A-5643-9FC4-43CEECA552E6}"/>
    <hyperlink ref="P128" r:id="rId73" xr:uid="{4ACB7651-11A7-CA41-ADE4-1A2BB6EC5BB7}"/>
    <hyperlink ref="P92" r:id="rId74" xr:uid="{E265B715-4A4A-8542-81D8-3C3C9DF9D09B}"/>
    <hyperlink ref="P99" r:id="rId75" xr:uid="{0060D92D-522D-E84A-A8F9-C31E89BE2978}"/>
    <hyperlink ref="P108" r:id="rId76" location=":~:text=Risen%20modules%20in%20operation%20at,first%20five%20years%20of%20operation." xr:uid="{74E068DA-64AE-2240-84F3-D0D6DE82BC3E}"/>
    <hyperlink ref="P199" r:id="rId77" xr:uid="{5677ADF2-8EB2-724C-9D72-B1BD2D9B4F56}"/>
    <hyperlink ref="P156" r:id="rId78" xr:uid="{2400B7EB-16BD-5048-82BD-794E41A42735}"/>
    <hyperlink ref="P162" r:id="rId79" xr:uid="{A51673E0-FA90-1741-9069-3CBCE720A4CA}"/>
    <hyperlink ref="P201" r:id="rId80" xr:uid="{D0F388DE-4E77-2946-936A-4037BA7C7A5D}"/>
    <hyperlink ref="P305" r:id="rId81" xr:uid="{DE8D1CF6-35D3-6A40-B143-6279FADCCB6C}"/>
    <hyperlink ref="P204" r:id="rId82" xr:uid="{D22A2E0A-08A9-F344-A3C2-2C369E38B610}"/>
    <hyperlink ref="P292" r:id="rId83" xr:uid="{B4050749-3C21-5A46-89B3-328C14E6A963}"/>
    <hyperlink ref="P310" r:id="rId84" xr:uid="{0564DB55-CBBE-0742-B7C5-0E30274EA91C}"/>
    <hyperlink ref="P291" r:id="rId85" xr:uid="{E3ABE7A1-DF25-A34A-A68E-DB41DA7090ED}"/>
    <hyperlink ref="P214" r:id="rId86" xr:uid="{17BE0404-0D69-6344-AE52-99D774F0266E}"/>
    <hyperlink ref="P198" r:id="rId87" xr:uid="{D7E0AA1F-36BA-3241-9EEC-02BC7CE09323}"/>
    <hyperlink ref="P263" r:id="rId88" xr:uid="{2B3B29DC-33FF-F546-9541-2DD1FB4AD117}"/>
    <hyperlink ref="P248" r:id="rId89" xr:uid="{4EB4BBC9-6758-0B40-A4E1-08A6B1BFB52F}"/>
    <hyperlink ref="P174" r:id="rId90" xr:uid="{2BCD7111-4CDE-1240-9CEB-AF128BDD4F6A}"/>
    <hyperlink ref="P192" r:id="rId91" xr:uid="{B42C982E-3214-524B-8554-E0D47748E357}"/>
    <hyperlink ref="P189" r:id="rId92" xr:uid="{259A3B27-923C-B044-9B0B-7B30B6E66DB9}"/>
    <hyperlink ref="P178" r:id="rId93" xr:uid="{F0212953-02D9-3148-BF00-736230F3B99A}"/>
    <hyperlink ref="P172" r:id="rId94" xr:uid="{87D2056C-2A32-064C-B993-579C65D9BCE0}"/>
    <hyperlink ref="P226" r:id="rId95" xr:uid="{C0ECAFDF-F330-2D4C-83AA-D25B269E15A3}"/>
    <hyperlink ref="P228" r:id="rId96" xr:uid="{E3CC07D8-AB76-DC44-933C-099D8F6A2F63}"/>
    <hyperlink ref="P304" r:id="rId97" xr:uid="{91871D25-BA81-EF4F-ACE6-B0AFE5969B7F}"/>
    <hyperlink ref="P181" r:id="rId98" xr:uid="{9622FB09-944D-D544-A496-438FBF283163}"/>
    <hyperlink ref="P253" r:id="rId99" xr:uid="{B6BFFCBC-9014-084E-A0B7-8F2E36E2D299}"/>
    <hyperlink ref="P280" r:id="rId100" xr:uid="{B7F6E20A-A6C9-C945-8927-D69EE5D7A540}"/>
    <hyperlink ref="P288" r:id="rId101" xr:uid="{382E6ED9-25A1-DE42-8F86-D284B76CC965}"/>
    <hyperlink ref="P301" r:id="rId102" xr:uid="{0466DEEF-4BE1-EB4E-8A09-43B49E8B3BB8}"/>
    <hyperlink ref="P311" r:id="rId103" xr:uid="{76438631-904A-6849-8D8E-467F42E0773D}"/>
    <hyperlink ref="P184" r:id="rId104" xr:uid="{A5828170-B339-8B4F-AC1B-D9909074537D}"/>
    <hyperlink ref="P293" r:id="rId105" xr:uid="{2E8D29AB-3AE1-4B43-9A1A-2C5E9BDD4943}"/>
    <hyperlink ref="P294" r:id="rId106" xr:uid="{25A6DDAE-9CA2-A543-80B3-2EB892513570}"/>
    <hyperlink ref="P287" r:id="rId107" xr:uid="{66A9C68F-743A-C847-B490-BAF68338E738}"/>
    <hyperlink ref="P176" r:id="rId108" location=":~:text=As%20geopolitical%20tensions%20increasingly%20reshape,export%20routes%20and%20regionalize%20production" xr:uid="{AD608CCB-F3E5-2C40-AF90-067FCC565DF6}"/>
    <hyperlink ref="P165" r:id="rId109" xr:uid="{B4B82EF0-99F2-9344-A22B-856C3717DE58}"/>
    <hyperlink ref="P170" r:id="rId110" xr:uid="{019FA252-6790-0E44-BAEA-FE386B386C77}"/>
    <hyperlink ref="P308" r:id="rId111" xr:uid="{88EFAD26-69F9-7F40-98C9-D5F0C8A37B79}"/>
    <hyperlink ref="Q211" r:id="rId112" xr:uid="{37D0CCB2-4E3E-2247-8C25-A37813C24C33}"/>
    <hyperlink ref="P281" r:id="rId113" xr:uid="{5F1DFF62-1B1F-F745-8989-451257E136BB}"/>
    <hyperlink ref="P161" r:id="rId114" xr:uid="{4C73EF21-8678-7948-8D81-21703335A9E0}"/>
    <hyperlink ref="P202" r:id="rId115" xr:uid="{7CDDDD2C-59BC-8645-99C3-D1F8B43723CD}"/>
    <hyperlink ref="P259" r:id="rId116" xr:uid="{6FA4BF6F-281E-8944-9B1E-F23F00D0DA63}"/>
    <hyperlink ref="P260" r:id="rId117" xr:uid="{15E691FA-3CCB-E248-80B3-9E43DB4F7CFF}"/>
    <hyperlink ref="P249" r:id="rId118" xr:uid="{0D811CA9-F1F3-DD44-8629-8E070B76ACD7}"/>
    <hyperlink ref="P250" r:id="rId119" xr:uid="{AD74ABEC-E8A8-D44B-AC3E-703CF228FDBE}"/>
    <hyperlink ref="P168" r:id="rId120" xr:uid="{333A578A-2996-A646-8463-9DEC988B6960}"/>
    <hyperlink ref="P215" r:id="rId121" xr:uid="{1CBF7443-39C6-EB44-99D4-1D401B956CF1}"/>
    <hyperlink ref="P219" r:id="rId122" xr:uid="{5FC99677-205A-F943-9107-0FD2B8E70E93}"/>
    <hyperlink ref="P164" r:id="rId123" xr:uid="{53862058-A3E9-3D43-872A-EB35DC5C2C52}"/>
    <hyperlink ref="P187" r:id="rId124" xr:uid="{E2ED81B0-DC2C-7A4C-894D-2E0C32E0EA95}"/>
    <hyperlink ref="P273" r:id="rId125" xr:uid="{4C4508BE-DB38-C149-97E5-C2DE15FD709A}"/>
    <hyperlink ref="P210" r:id="rId126" location=":~:text=Imerys%20Graphite%20&amp;%20Carbon%20Switzerland%20and,EV%20and%20energy%20storage%20markets." xr:uid="{EE6CB531-4FB3-E142-B8EC-DAB596E3E26C}"/>
    <hyperlink ref="P282" r:id="rId127" xr:uid="{0F767FD3-DC63-244C-96ED-548BF4ECA37F}"/>
    <hyperlink ref="P252" r:id="rId128" xr:uid="{FEA0CD9D-05F3-7748-8E02-B2F10B738859}"/>
    <hyperlink ref="P275" r:id="rId129" xr:uid="{50D0653C-5A7F-EB43-A2A0-18EE1DDF7201}"/>
    <hyperlink ref="P307" r:id="rId130" xr:uid="{CC2A13B5-A943-7D45-9247-8F7A33D32FEA}"/>
    <hyperlink ref="P279" r:id="rId131" xr:uid="{179B62CE-7361-784A-B81A-7CC5A95EC1A3}"/>
    <hyperlink ref="P190" r:id="rId132" xr:uid="{0DE6C765-593C-7C42-820D-BBF755D07EB7}"/>
    <hyperlink ref="P238" r:id="rId133" xr:uid="{C0FC356C-3B54-114B-9B58-7BD6179245F5}"/>
    <hyperlink ref="P234" r:id="rId134" xr:uid="{8C9BDE19-C491-E748-B037-1C07EE9672D0}"/>
    <hyperlink ref="P205" r:id="rId135" xr:uid="{9C4166C0-1525-7147-B774-C7131D1955FB}"/>
    <hyperlink ref="P169" r:id="rId136" xr:uid="{D6894066-F4DF-9D4E-BF0D-901A9CDA4EEE}"/>
    <hyperlink ref="P276" r:id="rId137" xr:uid="{30BF25C2-ABFF-D942-9AD1-21C1ED639154}"/>
    <hyperlink ref="P277" r:id="rId138" xr:uid="{229EDFD8-C031-D64B-ADDD-422B99753CBC}"/>
    <hyperlink ref="P278" r:id="rId139" location=":~:text=Each%20plant%20will%20cost%20US$310%20million%20and%20is%20projected,waste%20to%20produce%20alternative%20energy." xr:uid="{865490B1-E141-D74E-B1CC-0F2655674F4E}"/>
    <hyperlink ref="P158" r:id="rId140" xr:uid="{45D52A68-E63F-9A4B-ADEF-147CDF1571BB}"/>
    <hyperlink ref="P233" r:id="rId141" xr:uid="{C8B95C97-5988-3145-8FA2-AB72717D9BAB}"/>
    <hyperlink ref="P232" r:id="rId142" location=":~:text=China's%20Zhongke%20to%20Build%20Lithium,the%20Oman%20project%2C%20it%20noted." xr:uid="{EEBA606C-8580-D448-AAC4-4BAC7137F017}"/>
    <hyperlink ref="P242" r:id="rId143" xr:uid="{4784DEBF-427A-8644-ADD4-0DBE7066D7C8}"/>
    <hyperlink ref="P257" r:id="rId144" location=":~:text=Its%20strategic%20significance%20manifests%20across,leadership%20in%20the%20industrial%20chain." xr:uid="{4B346992-9797-4A49-901C-D3769DDBB263}"/>
    <hyperlink ref="P251" r:id="rId145" location=":~:text=Last%20November%2C%20they%20agreed%20to,Kim%20at%20khk@hankyung.com" xr:uid="{99E76F18-68D7-AD46-A79B-D50CC2C1811E}"/>
    <hyperlink ref="P212" r:id="rId146" xr:uid="{04453D15-F4F0-8241-AF02-1485B51FE034}"/>
    <hyperlink ref="P213" r:id="rId147" xr:uid="{1079A048-C80F-1D4D-832D-55E1FA9AFC87}"/>
    <hyperlink ref="P217" r:id="rId148" xr:uid="{24BA4BFD-062A-9D4A-9851-6676C138C8EF}"/>
    <hyperlink ref="P218" r:id="rId149" xr:uid="{17363A43-EAC6-AF40-A79D-378E6A369B91}"/>
    <hyperlink ref="P166" r:id="rId150" xr:uid="{7CC5E113-2ED0-3C4B-B40D-187F7388B424}"/>
    <hyperlink ref="P167" r:id="rId151" xr:uid="{E7CE0CB3-9663-B246-A3FD-D1769EDE695B}"/>
    <hyperlink ref="P180" r:id="rId152" location=":~:text=The%20company%20said%20it%20would%20invest%20JPY50bn,batteries%2C%20enough%20to%20power%20160%2C000%20electric%20vehicles." xr:uid="{97FA441D-44CE-6D40-B61D-2FB45C734E01}"/>
    <hyperlink ref="P191" r:id="rId153" location=":~:text=Industries-,Chinese%20battery%20maker%20Sunwoda%20plans%20$300%20mln%20additional%20investment%20in,production%20in%20Vietnam%2C%20he%20noted." display="https://theinvestor.vn/chinese-battery-maker-sunwoda-plans-300-mln-additional-investment-in-northern-vietnam-d11246.html#:~:text=Industries-,Chinese%20battery%20maker%20Sunwoda%20plans%20$300%20mln%20additional%20investment%20in,production%20in%20Vietnam%2C%20he%20noted." xr:uid="{E41943C1-05DB-9346-A74E-A971629CE813}"/>
    <hyperlink ref="P209" r:id="rId154" xr:uid="{5BDEB83F-7A79-B643-A72E-D3217BE20D4C}"/>
    <hyperlink ref="P194" r:id="rId155" location=":~:text=At%20the%20same%20time%2C%20CALB,and%20high%2Dperformance%20product%20solutions." xr:uid="{7C3EC762-698C-104A-881B-C219F80AE33F}"/>
    <hyperlink ref="P163" r:id="rId156" xr:uid="{C49BAF60-3CB8-6D47-8154-FB480B199A38}"/>
    <hyperlink ref="P206" r:id="rId157" location=":~:text=Hithium%20announced%20the%20new%20production,had%20doubled%20by%20its%20opening." xr:uid="{5B0D4D94-AAC7-3F4A-B516-B76E6DB1DE43}"/>
    <hyperlink ref="P224" r:id="rId158" xr:uid="{9B3A950A-4426-F84D-9548-23DC06CAA119}"/>
    <hyperlink ref="P225" r:id="rId159" xr:uid="{2092343B-42C4-B949-ADD2-3F9AFB83B597}"/>
    <hyperlink ref="P223" r:id="rId160" xr:uid="{3EBEFC3A-B135-FB48-A1C0-037398755933}"/>
    <hyperlink ref="P222" r:id="rId161" location=":~:text=March%2029%20(Reuters)%20%2D%20The,Eljechtimi;%20Editing%20by%20Susan%20Fenton" xr:uid="{422ED48D-DB87-3848-AE06-20C839337920}"/>
    <hyperlink ref="P255" r:id="rId162" xr:uid="{BEBC2151-3A45-9246-8F47-EFB84B050D92}"/>
    <hyperlink ref="P211" r:id="rId163" location=":~:text=Chinese%20company%20Shanghai%20Putailai%20(PTL,in%20parts%20with%20another%20company." xr:uid="{730F9711-DAB5-6946-9C24-67F6990FAE37}"/>
    <hyperlink ref="P227" r:id="rId164" location=":~:text=The%20facility%20will%20be%20built,BYD%20in%20the%20second%20quarter." xr:uid="{18181F9E-71B4-0B4F-A0C3-5EF68E30260C}"/>
    <hyperlink ref="P229" r:id="rId165" xr:uid="{0B3C36DC-706A-6749-B3D7-3E96B1547DAB}"/>
    <hyperlink ref="P230" r:id="rId166" xr:uid="{209075F9-BC26-4649-B1DF-97DEBE1CE7F5}"/>
    <hyperlink ref="P235" r:id="rId167" xr:uid="{0B64B9B8-4150-B64D-B71B-7E3FB9F1A60C}"/>
    <hyperlink ref="P240" r:id="rId168" xr:uid="{2659B533-8CF5-B948-8031-A4CC60D44FB4}"/>
    <hyperlink ref="Q29" r:id="rId169" xr:uid="{A1FD5C8F-36DE-9D48-8448-738F6D843A2D}"/>
    <hyperlink ref="Q33" r:id="rId170" xr:uid="{E0FEBD11-C0D3-5B40-A3FD-29D164C81BE2}"/>
    <hyperlink ref="Q34" r:id="rId171" xr:uid="{4A956D8F-0C8D-124E-8828-30D9E50BBA9E}"/>
    <hyperlink ref="P35" r:id="rId172" location=":~:text=Overview,Bengaluru" xr:uid="{C4F12535-55F2-4940-9610-16F7A176FCFB}"/>
    <hyperlink ref="Q74" r:id="rId173" location=":~:text=The%20third%20announced%20project%20is,that%20will%20total%20760%20MW." xr:uid="{E752BE69-F671-234E-BA59-9F6985F76815}"/>
    <hyperlink ref="P73" r:id="rId174" location=":~:text=The%20third%20announced%20project%20is,that%20will%20total%20760%20MW." xr:uid="{7B2A57F2-D600-1B4D-BBF8-DC956CFD8989}"/>
    <hyperlink ref="P72" r:id="rId175" location=":~:text=Energy%20Conference%202026-,Azerbaijan%20awards%20100%20MW%20of%20solar%20with%20lowest%20bid%20of,November%2021%2C%202024%20Patrick%20Jowett" xr:uid="{1BF2B546-5B3E-2840-AE2B-02961E198BD0}"/>
    <hyperlink ref="P26" r:id="rId176" xr:uid="{C1ECE009-61DE-8A44-9DE8-A8AE265ED7F0}"/>
    <hyperlink ref="Q310" r:id="rId177" xr:uid="{55AA3E5C-94CE-EE41-860F-000D0E00A464}"/>
    <hyperlink ref="Q283" r:id="rId178" xr:uid="{24AB905C-3824-A64F-A450-C74674016C01}"/>
    <hyperlink ref="Q281" r:id="rId179" location=":~:text=By%20Saleh%20Al%2DShaibany,economy%20away%20from%20fossil%20fuels." xr:uid="{4D6BFB3B-DE56-064E-BAED-D3BD267F5FD6}"/>
    <hyperlink ref="P148" r:id="rId180" xr:uid="{F0D9A3C1-E384-3F43-85D0-D0D254FD8704}"/>
    <hyperlink ref="P10" r:id="rId181" location=":~:text=Black%20Peak%20Wind%20Farm%20is%20a%20150MW,planned%20in%20Southern%20and%20Eastern%20Serbia%2C%20Serbia." xr:uid="{330A3676-ECAD-A54E-92AC-4AAE4F6EFF5D}"/>
    <hyperlink ref="Q297" r:id="rId182" location=":~:text=%E4%B8%AD%E6%96%87%E7%AB%99,GT%20rolling%20off%20the%20line" xr:uid="{5BA9F60B-4163-1F4D-A597-A789C7C394B4}"/>
    <hyperlink ref="P298" r:id="rId183" location=":~:text=First%20off%20the%20blocks%20was,price%20with%20similar%20ICE%20models." xr:uid="{7C727976-EBD4-7E4B-AB4C-46EECA371695}"/>
    <hyperlink ref="Q298" r:id="rId184" xr:uid="{EC2242F7-ACC6-D846-B6A0-FB9F347838DD}"/>
    <hyperlink ref="R298" r:id="rId185" location=":~:text=Yusin%20Hu%2C%20DIGITIMES%20Asia%2C%20Taipei,stations%20across%20Thailand%20by%202030." xr:uid="{B1D27F7E-FD0D-E74F-976A-1594DE057CFF}"/>
    <hyperlink ref="Q210" r:id="rId186" location=":~:text=Chinese%20Shipping%20Tycoon%20Takes%20Over,away%20unexpectedly%20in%20early%202023." xr:uid="{49FEB024-1328-0049-9D7F-184542178FF5}"/>
    <hyperlink ref="P60" r:id="rId187" location=":~:text=Release%20time%EF%BC%9A2022%2D06%2D,of%20SPIC%20Brasil%2C%20Adriana%20Waltrick." xr:uid="{257136ED-3616-7B4F-AC0D-992840E4802B}"/>
    <hyperlink ref="P21" r:id="rId188" location=":~:text=China's%20SPIC%20invests%20$147%20million,farms%2C%20launches%20solar%20parks%20%7C%20Reuters" xr:uid="{1166F1B3-FEFD-BE45-82A3-8796886CEF72}"/>
    <hyperlink ref="P61" r:id="rId189" location=":~:text=Igor%20Todorovi%C4%87-,0,power%20plants%20in%20the%20country." xr:uid="{EB61DB2B-2BAE-3840-A03E-DF80151B51E2}"/>
    <hyperlink ref="Q239" r:id="rId190" location=":~:text=Ronbay%20Technology%20(China)%20%E2%80%93%20Chinese,to%20create%20600%E2%80%93800%20jobs." xr:uid="{9280301E-21A0-2441-A3CE-335E1EAFEB2D}"/>
    <hyperlink ref="Q240" r:id="rId191" location=":~:text=China's%20Ronbay%20to%20Invest%20USD362,owns%20a%2068.2%20percent%20stake." xr:uid="{162FC578-F2BA-9C4B-8085-AFD3ABE9669D}"/>
    <hyperlink ref="P196" r:id="rId192" location=":~:text=ANKARA,to%20a%20statement%20on%20Thursday." xr:uid="{9C5D5C0E-4CBB-F140-A2A4-C288DC3B4E6C}"/>
    <hyperlink ref="Q230" r:id="rId193" xr:uid="{FC041722-A5CA-9943-84C4-5DB49DC61EA2}"/>
    <hyperlink ref="Q162" r:id="rId194" xr:uid="{4833CCC0-6852-824D-9EA4-3A506BC09285}"/>
    <hyperlink ref="Q183" r:id="rId195" xr:uid="{833D06A5-3C87-6246-B086-0AE576A2D221}"/>
    <hyperlink ref="P243" r:id="rId196" location=":~:text=2020.,10.&amp;text=As%20the%20first%20production%20unit,market%20of%20lithium%2Dion%20batteries." xr:uid="{614C7CCF-E36C-5344-955C-9810EF615176}"/>
    <hyperlink ref="P244" r:id="rId197" xr:uid="{11CB2EE5-A8F0-7746-88DD-DD1302667C6B}"/>
    <hyperlink ref="Q244" r:id="rId198" location=":~:text=May%205%20(Reuters)%20%2D%20Semcorp,Shanghai%20Energy%20New%20Materials%20Technology.)" xr:uid="{772B8329-AA26-D741-B0BD-7CCE701DFFD4}"/>
    <hyperlink ref="R244" r:id="rId199" xr:uid="{907E9B7C-CA0F-F246-BD88-BB94373A4A7D}"/>
    <hyperlink ref="P245" r:id="rId200" xr:uid="{9DA9C024-F80D-2C43-A244-58225EBC27EA}"/>
    <hyperlink ref="P203" r:id="rId201" xr:uid="{68C497F2-42B1-B246-A438-38C9194420C5}"/>
    <hyperlink ref="Q203" r:id="rId202" location=":~:text=On%20the%20manufacturing%20side%2C%20Sungrow,to%20begin%20in%20April%202027." xr:uid="{2E0663D8-82F9-6142-8734-868FF25FDC27}"/>
    <hyperlink ref="P51" r:id="rId203" location=":~:text=Arctech%20has%20supplied%20its%20SkyWings,of%20the%20sun%20in%20unison." xr:uid="{52B1DB27-A58B-594B-8489-B448E6422382}"/>
    <hyperlink ref="P64" r:id="rId204" xr:uid="{6ABBB25B-019B-B742-9DC6-3BE909277F22}"/>
    <hyperlink ref="Q289" r:id="rId205" location=":~:text=to%20Anyone,2025%20as%20weak%20demand%20persists" xr:uid="{287B33F6-EFF2-F843-A368-6429FB4FC078}"/>
    <hyperlink ref="Q134" r:id="rId206" location=":~:text=SUEZ%2C%20Egypt%2C%20Jan.%2024,cell%20and%20module%20production%20lines." xr:uid="{1A213962-942D-5646-9518-55A51DDF3659}"/>
    <hyperlink ref="Q172" r:id="rId207" location=":~:text=Gotion%20to%20build%20$5.6B,and%20cathodes%20for%20the%20batteries." xr:uid="{FB288D4C-6BCD-254C-BF44-7DEE25D74667}"/>
    <hyperlink ref="P144" r:id="rId208" xr:uid="{F2823FC7-6462-8F4C-B0A6-CA63EEEDCA21}"/>
    <hyperlink ref="P145" r:id="rId209" location=":~:text=Description,into%20commercial%20operation%20by%202032." xr:uid="{DE7B0748-7A29-534C-B5B9-6AD08E4AE7AD}"/>
    <hyperlink ref="P149" r:id="rId210" xr:uid="{90B0EABB-1EAE-6741-A0B8-A6EC9B80B9F7}"/>
    <hyperlink ref="Q158" r:id="rId211" xr:uid="{927067A6-5139-6646-84B5-0E97B9B83BB4}"/>
    <hyperlink ref="Q216" r:id="rId212" xr:uid="{604DF744-EBD1-9A4E-8CD5-4A4B6961B554}"/>
    <hyperlink ref="Q154" r:id="rId213" xr:uid="{6B027556-A0F2-DC4A-B58B-3E16C26DB1FE}"/>
    <hyperlink ref="P63" r:id="rId214" location=":~:text=On%20March%2020th%2C%20CGN%20Energy,needs%20of%2010%20million%20households." xr:uid="{D2FF6A71-6B03-6046-B93F-8A2940323A15}"/>
    <hyperlink ref="Q153" r:id="rId215" location=":~:text=5%20(Xinhua)%20%2D%2D%20The%20Chinese,500%2DkV%20power%20interconnection%20project." xr:uid="{B7F6BB81-5577-5B40-9D11-8B1ACBEEDDAE}"/>
    <hyperlink ref="P141" r:id="rId216" location=":~:text=toggle%20caption,%2C%22%20Abiy%20said%20in%20July." xr:uid="{9FD5906D-0C9A-1E4A-A357-63A41B84A34D}"/>
    <hyperlink ref="P139" r:id="rId217" display="https://www.scmp.com/week-asia/politics/article/3343515/indonesias-us167-billion-china-backed-dam-limbo-why?utm_medium=email&amp;utm_source=cm&amp;utm_campaign=enlz-behind_the_headlines&amp;utm_content=20260220&amp;tpcc=enlz-behind_the_headlines&amp;UUID=9d1a14b6-2ab5-4fe1-a73c-7c57d6428f9b&amp;tc=31" xr:uid="{C7BB6BD6-8776-B34F-B6DE-F1C7427D3879}"/>
    <hyperlink ref="Q186" r:id="rId218" xr:uid="{CBE0B170-6928-1C4F-A971-F274A84EF6B6}"/>
    <hyperlink ref="Q7" r:id="rId219" location=":~:text=These%20areas%20were%20selected%20due,wind%20farm%20in%20the%20Caucasus." xr:uid="{501F3CC7-1F48-054C-ACC0-946B0A72361C}"/>
    <hyperlink ref="P16" r:id="rId220" location=":~:text=Recently%2C%20Luz%20del%20Sur%20S.A.A.,%E2%80%93wind%E2%80%93solar%20energy%20mix." xr:uid="{A08A7BAF-8581-B948-9386-E9BE636CBBA5}"/>
    <hyperlink ref="P17" r:id="rId221" xr:uid="{28A69A3F-9238-2447-8DB5-5E4EDC779730}"/>
    <hyperlink ref="Q17" r:id="rId222" location=":~:text=In%20this%20way%2C%20the%20company,and%20exposure%20to%20climate%20change." xr:uid="{896521E4-1579-F64B-ABEB-EEAE8A1BCF48}"/>
    <hyperlink ref="Q15" r:id="rId223" location=":~:text=On%20Oct.,regional%20development%20through%20this%20project." xr:uid="{BEC7AA4E-DE99-0D4D-9F29-D3F79360273B}"/>
    <hyperlink ref="P59" r:id="rId224" xr:uid="{EDE9A860-1AE8-0849-8041-9B3F4F0A2E82}"/>
    <hyperlink ref="P80" r:id="rId225" location=":~:text=Recently%2C%20Tianneng%20Group%20signed%20a%20strategic%20agreement,will%20be%20developed%20under%20an%20%E2%80%9CEPC+F%E2%80%9D%20model." display="https://en.cnesa.org/latest-news/2026/1/25/tianneng-signs-a-1gwh-project-in-malaysia-build-a-benchmark-for-integrated-solar-storage-computingsolutions#:~:text=Recently%2C%20Tianneng%20Group%20signed%20a%20strategic%20agreement,will%20be%20developed%20under%20an%20%E2%80%9CEPC+F%E2%80%9D%20model." xr:uid="{A5E946E2-946D-1B45-911E-31835DEE2D4C}"/>
    <hyperlink ref="Q286" r:id="rId226" location=":~:text=At%20the%20IAA%20Mobility%20in,due%20to%20several%20legal%20disputes." xr:uid="{71500BEB-675C-6A4A-AAC0-4971AE0AFEC8}"/>
    <hyperlink ref="Q290" r:id="rId227" location=":~:text=At%20the%20IAA%20Mobility%20in,due%20to%20several%20legal%20disputes." xr:uid="{E0C289A5-C1F5-164A-A8C7-5CBCCFA61F2D}"/>
    <hyperlink ref="R290" r:id="rId228" location=":~:text=Turkey's%20Ministry%20of%20Industry%20and,by%20the%20end%20of%202026." xr:uid="{3DF16358-E227-E94A-B4CB-F6D1BEED9DA3}"/>
    <hyperlink ref="Q291" r:id="rId229" xr:uid="{C01C3621-38C0-1F43-B6E5-19BFB694E15F}"/>
    <hyperlink ref="R291" r:id="rId230" location=":~:text=Emily%20Green,mostly%20building%20US%2Dbound%20vehicles." xr:uid="{DF5CC9AD-B07E-6045-AF6F-D0B0E5149050}"/>
    <hyperlink ref="P105" r:id="rId231" location=":~:text=Runergy's%20solar%20module%20manufacturing%20facility,people%20at%20its%20Huntsville%20plant." xr:uid="{4D82CD12-63F5-064D-801B-9DF64A54C1E3}"/>
    <hyperlink ref="P87" r:id="rId232" location=":~:text=The%20plant%20will%20be%20an,owned%20subsidiary%20of%20the%20company." xr:uid="{ACEC764F-ED74-3041-99FC-C8466F0CB5E7}"/>
    <hyperlink ref="P309" r:id="rId233" xr:uid="{81898024-8127-BD4F-8D92-F0A0A772F155}"/>
    <hyperlink ref="R29" r:id="rId234" xr:uid="{FB828E55-3BB6-6349-9BA9-633764FDA78B}"/>
    <hyperlink ref="P296" r:id="rId235" display="https://finance.yahoo.com/news/byd-explores-canada-plant-potential-113505920.html?guccounter=1&amp;guce_referrer=aHR0cHM6Ly93d3cubGlua2VkaW4uY29tLw&amp;guce_referrer_sig=AQAAALWUlePBvEuIGKIt7JHsvAUeETZsUujxXXYW0yNcJO_inh2W5zldsJom-pVof7ZdIov1e3N4vA3u7jCMo541NrARkUaas6-87ZvieISMOYlbsEjYjZMnFH-VgTack33NX7Brn53qLrPFFKt--NCjhXB3IAkvdm7YXqyat3IlAfJ9" xr:uid="{7728D193-F8C9-D144-A97B-BB7ECA95656B}"/>
    <hyperlink ref="P302" r:id="rId236" location=":~:text=NEW%20DELHI%2C%20Feb%2016%20(Reuters,has%20yet%20to%20turn%20profitable." xr:uid="{D1951F20-66D1-F541-93C6-FCC246F0F5A4}"/>
    <hyperlink ref="Q302" r:id="rId237" xr:uid="{FF9F19BF-DD2E-8644-A67D-F06DCD44176C}"/>
    <hyperlink ref="P208" r:id="rId238" xr:uid="{37D66581-6398-1640-BE61-B6B2689D5736}"/>
    <hyperlink ref="Q94" r:id="rId239" xr:uid="{C68F0EA7-2044-C347-AB9A-16A2F0702554}"/>
    <hyperlink ref="R162" r:id="rId240" xr:uid="{763F6B10-1197-6444-83C2-9B8E7B051FDB}"/>
  </hyperlinks>
  <pageMargins left="0.7" right="0.7" top="0.75" bottom="0.75" header="0.3" footer="0.3"/>
  <tableParts count="1">
    <tablePart r:id="rId241"/>
  </tableParts>
  <extLst>
    <ext xmlns:x14="http://schemas.microsoft.com/office/spreadsheetml/2009/9/main" uri="{CCE6A557-97BC-4b89-ADB6-D9C93CAAB3DF}">
      <x14:dataValidations xmlns:xm="http://schemas.microsoft.com/office/excel/2006/main" count="4">
        <x14:dataValidation type="list" allowBlank="1" showInputMessage="1" showErrorMessage="1" xr:uid="{F16CBBCD-C56B-2B44-AAD8-36C377B52160}">
          <x14:formula1>
            <xm:f>Definitions!$H$3:$H$4</xm:f>
          </x14:formula1>
          <xm:sqref>D144 C27:C32 C2:C23 E2:E143 E146:E313 C37:C309</xm:sqref>
        </x14:dataValidation>
        <x14:dataValidation type="list" allowBlank="1" showInputMessage="1" showErrorMessage="1" xr:uid="{EFC1A34C-B0E9-E444-B272-7ECA73BEEFE0}">
          <x14:formula1>
            <xm:f>Definitions!$F$3:$F$11</xm:f>
          </x14:formula1>
          <xm:sqref>K242:K245 K240 K265:K266 K259:K263 K271:K279 K269 K312 K249:K257 K289 K293 K306:K307 K2:K237 K310 K298 K281:K285 K300:K302</xm:sqref>
        </x14:dataValidation>
        <x14:dataValidation type="list" allowBlank="1" showInputMessage="1" showErrorMessage="1" xr:uid="{0D30E1CF-D520-D24A-94EB-7F6DA9B0784F}">
          <x14:formula1>
            <xm:f>Definitions!$B$3:$B$19</xm:f>
          </x14:formula1>
          <xm:sqref>A2:A313</xm:sqref>
        </x14:dataValidation>
        <x14:dataValidation type="list" allowBlank="1" showInputMessage="1" showErrorMessage="1" xr:uid="{766F6828-9A23-9447-BC38-89AA77999D68}">
          <x14:formula1>
            <xm:f>Definitions!$D$3:$D$11</xm:f>
          </x14:formula1>
          <xm:sqref>M2:M313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C71D-6B6A-AC41-BF49-7E02EFC9ABAD}">
  <sheetPr>
    <tabColor theme="5" tint="0.79998168889431442"/>
  </sheetPr>
  <dimension ref="A1:V79"/>
  <sheetViews>
    <sheetView showGridLines="0" topLeftCell="C1" zoomScale="96" zoomScaleNormal="100" workbookViewId="0">
      <selection activeCell="K34" sqref="K34"/>
    </sheetView>
  </sheetViews>
  <sheetFormatPr baseColWidth="10" defaultRowHeight="16" x14ac:dyDescent="0.2"/>
  <cols>
    <col min="1" max="1" width="23.83203125" style="60" customWidth="1"/>
    <col min="2" max="2" width="21.83203125" style="60" customWidth="1"/>
    <col min="3" max="3" width="34.5" style="60" customWidth="1"/>
    <col min="4" max="4" width="29.5" style="60" customWidth="1"/>
    <col min="5" max="5" width="20.33203125" style="63" customWidth="1"/>
    <col min="6" max="7" width="20.33203125" style="60" customWidth="1"/>
    <col min="8" max="8" width="16.83203125" style="60" customWidth="1"/>
    <col min="9" max="9" width="24.83203125" style="60" customWidth="1"/>
    <col min="10" max="10" width="68.33203125" style="60" customWidth="1"/>
    <col min="11" max="11" width="19.1640625" style="60" customWidth="1"/>
    <col min="12" max="12" width="12.6640625" style="60" customWidth="1"/>
    <col min="13" max="13" width="19.5" style="73" customWidth="1"/>
    <col min="14" max="19" width="10.83203125" style="60"/>
    <col min="20" max="16384" width="10.83203125" style="73"/>
  </cols>
  <sheetData>
    <row r="1" spans="1:19" ht="38" customHeight="1" x14ac:dyDescent="0.2">
      <c r="A1" s="60" t="s">
        <v>1126</v>
      </c>
      <c r="B1" s="60" t="s">
        <v>1127</v>
      </c>
      <c r="C1" s="60" t="s">
        <v>32</v>
      </c>
      <c r="D1" s="60" t="s">
        <v>1128</v>
      </c>
      <c r="E1" s="61" t="s">
        <v>1129</v>
      </c>
      <c r="F1" s="62" t="s">
        <v>1130</v>
      </c>
      <c r="G1" s="62" t="s">
        <v>1131</v>
      </c>
      <c r="H1" s="60" t="s">
        <v>36</v>
      </c>
      <c r="I1" s="60" t="s">
        <v>27</v>
      </c>
      <c r="J1" s="60" t="s">
        <v>1109</v>
      </c>
      <c r="K1" s="60" t="s">
        <v>17</v>
      </c>
      <c r="L1" s="60" t="s">
        <v>1132</v>
      </c>
      <c r="M1" s="73" t="s">
        <v>1332</v>
      </c>
      <c r="N1" s="60" t="s">
        <v>916</v>
      </c>
      <c r="O1" s="60" t="s">
        <v>958</v>
      </c>
      <c r="P1" s="60" t="s">
        <v>1327</v>
      </c>
    </row>
    <row r="2" spans="1:19" ht="22" customHeight="1" x14ac:dyDescent="0.2">
      <c r="A2" s="60" t="s">
        <v>1133</v>
      </c>
      <c r="B2" s="60" t="s">
        <v>1133</v>
      </c>
      <c r="C2" s="60" t="s">
        <v>1134</v>
      </c>
      <c r="E2" s="63">
        <v>1.5</v>
      </c>
      <c r="G2" s="71">
        <f>Resources[[#This Row],[Identified Investment (US$m)]]+Resources[[#This Row],[Estimated Investment (US$m)]]</f>
        <v>1.5</v>
      </c>
      <c r="H2" s="60" t="s">
        <v>244</v>
      </c>
      <c r="I2" s="60" t="s">
        <v>965</v>
      </c>
      <c r="J2" s="60" t="s">
        <v>1135</v>
      </c>
      <c r="K2" s="60" t="s">
        <v>1056</v>
      </c>
      <c r="L2" s="64">
        <v>45200</v>
      </c>
      <c r="N2" s="73"/>
      <c r="Q2" s="73"/>
      <c r="R2" s="73"/>
      <c r="S2" s="73"/>
    </row>
    <row r="3" spans="1:19" ht="17" x14ac:dyDescent="0.2">
      <c r="A3" s="60" t="s">
        <v>1133</v>
      </c>
      <c r="B3" s="60" t="s">
        <v>1133</v>
      </c>
      <c r="C3" s="60" t="s">
        <v>1134</v>
      </c>
      <c r="E3" s="63">
        <f>6*AUDUSD</f>
        <v>4.0200000000000005</v>
      </c>
      <c r="G3" s="71">
        <f>Resources[[#This Row],[Identified Investment (US$m)]]+Resources[[#This Row],[Estimated Investment (US$m)]]</f>
        <v>4.0200000000000005</v>
      </c>
      <c r="H3" s="60" t="s">
        <v>244</v>
      </c>
      <c r="I3" s="60" t="s">
        <v>965</v>
      </c>
      <c r="J3" s="60" t="s">
        <v>1136</v>
      </c>
      <c r="K3" s="60" t="s">
        <v>1056</v>
      </c>
      <c r="L3" s="64">
        <v>45261</v>
      </c>
      <c r="N3" s="73"/>
      <c r="Q3" s="73"/>
      <c r="R3" s="73"/>
      <c r="S3" s="73"/>
    </row>
    <row r="4" spans="1:19" ht="17" x14ac:dyDescent="0.2">
      <c r="A4" s="60" t="s">
        <v>1133</v>
      </c>
      <c r="B4" s="60" t="s">
        <v>1133</v>
      </c>
      <c r="C4" s="60" t="s">
        <v>1134</v>
      </c>
      <c r="E4" s="63">
        <f>195*AUDUSD</f>
        <v>130.65</v>
      </c>
      <c r="G4" s="71">
        <f>Resources[[#This Row],[Identified Investment (US$m)]]+Resources[[#This Row],[Estimated Investment (US$m)]]</f>
        <v>130.65</v>
      </c>
      <c r="H4" s="60" t="s">
        <v>244</v>
      </c>
      <c r="I4" s="60" t="s">
        <v>965</v>
      </c>
      <c r="J4" s="60" t="s">
        <v>1137</v>
      </c>
      <c r="K4" s="60" t="s">
        <v>1056</v>
      </c>
      <c r="L4" s="64">
        <v>45901</v>
      </c>
      <c r="N4" s="73"/>
      <c r="Q4" s="73"/>
      <c r="R4" s="73"/>
      <c r="S4" s="73"/>
    </row>
    <row r="5" spans="1:19" ht="34" x14ac:dyDescent="0.2">
      <c r="A5" s="60" t="s">
        <v>1138</v>
      </c>
      <c r="B5" s="60" t="s">
        <v>1139</v>
      </c>
      <c r="C5" s="60" t="s">
        <v>421</v>
      </c>
      <c r="E5" s="63">
        <v>343</v>
      </c>
      <c r="G5" s="71">
        <f>Resources[[#This Row],[Identified Investment (US$m)]]+Resources[[#This Row],[Estimated Investment (US$m)]]</f>
        <v>343</v>
      </c>
      <c r="H5" s="60" t="s">
        <v>1140</v>
      </c>
      <c r="I5" s="60" t="s">
        <v>965</v>
      </c>
      <c r="J5" s="60" t="s">
        <v>1141</v>
      </c>
      <c r="K5" s="60" t="s">
        <v>1056</v>
      </c>
      <c r="L5" s="64">
        <v>45413</v>
      </c>
      <c r="N5" s="73"/>
      <c r="Q5" s="73"/>
      <c r="R5" s="73"/>
      <c r="S5" s="73"/>
    </row>
    <row r="6" spans="1:19" ht="34" x14ac:dyDescent="0.2">
      <c r="A6" s="60" t="s">
        <v>1138</v>
      </c>
      <c r="B6" s="60" t="s">
        <v>1139</v>
      </c>
      <c r="C6" s="60" t="s">
        <v>1142</v>
      </c>
      <c r="E6" s="63">
        <v>300</v>
      </c>
      <c r="G6" s="71">
        <f>Resources[[#This Row],[Identified Investment (US$m)]]+Resources[[#This Row],[Estimated Investment (US$m)]]</f>
        <v>300</v>
      </c>
      <c r="H6" s="60" t="s">
        <v>535</v>
      </c>
      <c r="I6" s="60" t="s">
        <v>965</v>
      </c>
      <c r="J6" s="60" t="s">
        <v>1143</v>
      </c>
      <c r="K6" s="60" t="s">
        <v>18</v>
      </c>
      <c r="L6" s="64">
        <v>45383</v>
      </c>
      <c r="N6" s="73"/>
      <c r="Q6" s="73"/>
      <c r="R6" s="73"/>
      <c r="S6" s="73"/>
    </row>
    <row r="7" spans="1:19" ht="19" hidden="1" customHeight="1" x14ac:dyDescent="0.2">
      <c r="A7" s="60" t="s">
        <v>1138</v>
      </c>
      <c r="B7" s="60" t="s">
        <v>1139</v>
      </c>
      <c r="C7" s="60" t="s">
        <v>1142</v>
      </c>
      <c r="E7" s="60">
        <v>500</v>
      </c>
      <c r="G7" s="71">
        <f>Resources[[#This Row],[Identified Investment (US$m)]]+Resources[[#This Row],[Estimated Investment (US$m)]]</f>
        <v>500</v>
      </c>
      <c r="H7" s="60" t="s">
        <v>535</v>
      </c>
      <c r="I7" s="60" t="s">
        <v>965</v>
      </c>
      <c r="J7" s="60" t="s">
        <v>1144</v>
      </c>
      <c r="K7" s="60" t="s">
        <v>963</v>
      </c>
      <c r="L7" s="64">
        <v>45931</v>
      </c>
      <c r="M7" s="60"/>
    </row>
    <row r="8" spans="1:19" ht="17" hidden="1" x14ac:dyDescent="0.2">
      <c r="A8" s="60" t="s">
        <v>1138</v>
      </c>
      <c r="B8" s="60" t="s">
        <v>1139</v>
      </c>
      <c r="C8" s="60" t="s">
        <v>1145</v>
      </c>
      <c r="E8" s="60"/>
      <c r="G8" s="71">
        <f>Resources[[#This Row],[Identified Investment (US$m)]]+Resources[[#This Row],[Estimated Investment (US$m)]]</f>
        <v>0</v>
      </c>
      <c r="H8" s="60" t="s">
        <v>535</v>
      </c>
      <c r="I8" s="60" t="s">
        <v>965</v>
      </c>
      <c r="J8" s="60" t="s">
        <v>1146</v>
      </c>
      <c r="K8" s="60" t="s">
        <v>963</v>
      </c>
      <c r="L8" s="64">
        <v>46054</v>
      </c>
      <c r="M8" s="60"/>
    </row>
    <row r="9" spans="1:19" ht="17" x14ac:dyDescent="0.2">
      <c r="A9" s="60" t="s">
        <v>1138</v>
      </c>
      <c r="B9" s="60" t="s">
        <v>1139</v>
      </c>
      <c r="C9" s="60" t="s">
        <v>432</v>
      </c>
      <c r="E9" s="63">
        <v>400</v>
      </c>
      <c r="G9" s="71">
        <f>Resources[[#This Row],[Identified Investment (US$m)]]+Resources[[#This Row],[Estimated Investment (US$m)]]</f>
        <v>400</v>
      </c>
      <c r="H9" s="60" t="s">
        <v>535</v>
      </c>
      <c r="I9" s="60" t="s">
        <v>965</v>
      </c>
      <c r="J9" s="60" t="s">
        <v>1147</v>
      </c>
      <c r="K9" s="60" t="s">
        <v>21</v>
      </c>
      <c r="L9" s="64">
        <v>46054</v>
      </c>
      <c r="M9" s="60"/>
      <c r="N9" s="76" t="s">
        <v>1253</v>
      </c>
      <c r="Q9" s="73"/>
      <c r="R9" s="73"/>
      <c r="S9" s="73"/>
    </row>
    <row r="10" spans="1:19" ht="17" x14ac:dyDescent="0.2">
      <c r="A10" s="60" t="s">
        <v>1138</v>
      </c>
      <c r="B10" s="60" t="s">
        <v>1139</v>
      </c>
      <c r="C10" s="60" t="s">
        <v>432</v>
      </c>
      <c r="E10" s="63">
        <v>422</v>
      </c>
      <c r="G10" s="71">
        <f>Resources[[#This Row],[Identified Investment (US$m)]]+Resources[[#This Row],[Estimated Investment (US$m)]]</f>
        <v>422</v>
      </c>
      <c r="H10" s="60" t="s">
        <v>535</v>
      </c>
      <c r="I10" s="60" t="s">
        <v>965</v>
      </c>
      <c r="J10" s="60" t="s">
        <v>1148</v>
      </c>
      <c r="K10" s="60" t="s">
        <v>1056</v>
      </c>
      <c r="L10" s="60">
        <v>2022</v>
      </c>
      <c r="N10" s="73"/>
      <c r="Q10" s="73"/>
      <c r="R10" s="73"/>
      <c r="S10" s="73"/>
    </row>
    <row r="11" spans="1:19" ht="17" x14ac:dyDescent="0.2">
      <c r="A11" s="60" t="s">
        <v>1138</v>
      </c>
      <c r="B11" s="60" t="s">
        <v>1139</v>
      </c>
      <c r="C11" s="60" t="s">
        <v>432</v>
      </c>
      <c r="E11" s="63">
        <v>300</v>
      </c>
      <c r="G11" s="71">
        <f>Resources[[#This Row],[Identified Investment (US$m)]]+Resources[[#This Row],[Estimated Investment (US$m)]]</f>
        <v>300</v>
      </c>
      <c r="H11" s="60" t="s">
        <v>535</v>
      </c>
      <c r="I11" s="60" t="s">
        <v>965</v>
      </c>
      <c r="J11" s="60" t="s">
        <v>1149</v>
      </c>
      <c r="K11" s="60" t="s">
        <v>21</v>
      </c>
      <c r="L11" s="64">
        <v>45108</v>
      </c>
      <c r="N11" s="73"/>
      <c r="Q11" s="73"/>
      <c r="R11" s="73"/>
      <c r="S11" s="73"/>
    </row>
    <row r="12" spans="1:19" ht="51" x14ac:dyDescent="0.2">
      <c r="A12" s="60" t="s">
        <v>1138</v>
      </c>
      <c r="B12" s="60" t="s">
        <v>1139</v>
      </c>
      <c r="C12" s="60" t="s">
        <v>1150</v>
      </c>
      <c r="E12" s="63">
        <v>270</v>
      </c>
      <c r="G12" s="71">
        <f>Resources[[#This Row],[Identified Investment (US$m)]]+Resources[[#This Row],[Estimated Investment (US$m)]]</f>
        <v>270</v>
      </c>
      <c r="H12" s="60" t="s">
        <v>535</v>
      </c>
      <c r="I12" s="60" t="s">
        <v>965</v>
      </c>
      <c r="J12" s="60" t="s">
        <v>1151</v>
      </c>
      <c r="K12" s="60" t="s">
        <v>18</v>
      </c>
      <c r="L12" s="64">
        <v>45474</v>
      </c>
      <c r="N12" s="73"/>
      <c r="Q12" s="73"/>
      <c r="R12" s="73"/>
      <c r="S12" s="73"/>
    </row>
    <row r="13" spans="1:19" ht="34" x14ac:dyDescent="0.2">
      <c r="A13" s="60" t="s">
        <v>1138</v>
      </c>
      <c r="B13" s="60" t="s">
        <v>1139</v>
      </c>
      <c r="C13" s="60" t="s">
        <v>1152</v>
      </c>
      <c r="E13" s="63">
        <v>130</v>
      </c>
      <c r="G13" s="71">
        <f>Resources[[#This Row],[Identified Investment (US$m)]]+Resources[[#This Row],[Estimated Investment (US$m)]]</f>
        <v>130</v>
      </c>
      <c r="H13" s="60" t="s">
        <v>535</v>
      </c>
      <c r="I13" s="60" t="s">
        <v>965</v>
      </c>
      <c r="J13" s="65" t="s">
        <v>1153</v>
      </c>
      <c r="K13" s="60" t="s">
        <v>21</v>
      </c>
      <c r="L13" s="64">
        <v>45047</v>
      </c>
      <c r="N13" s="73"/>
      <c r="Q13" s="73"/>
      <c r="R13" s="73"/>
      <c r="S13" s="73"/>
    </row>
    <row r="14" spans="1:19" ht="17" x14ac:dyDescent="0.2">
      <c r="A14" s="60" t="s">
        <v>1138</v>
      </c>
      <c r="B14" s="60" t="s">
        <v>1139</v>
      </c>
      <c r="C14" s="60" t="s">
        <v>1154</v>
      </c>
      <c r="F14" s="60">
        <v>30</v>
      </c>
      <c r="G14" s="71">
        <f>Resources[[#This Row],[Identified Investment (US$m)]]+Resources[[#This Row],[Estimated Investment (US$m)]]</f>
        <v>30</v>
      </c>
      <c r="H14" s="60" t="s">
        <v>535</v>
      </c>
      <c r="I14" s="60" t="s">
        <v>965</v>
      </c>
      <c r="J14" s="60" t="s">
        <v>1155</v>
      </c>
      <c r="K14" s="60" t="s">
        <v>21</v>
      </c>
      <c r="L14" s="64">
        <v>45383</v>
      </c>
      <c r="N14" s="73"/>
      <c r="Q14" s="73"/>
      <c r="R14" s="73"/>
      <c r="S14" s="73"/>
    </row>
    <row r="15" spans="1:19" ht="17" x14ac:dyDescent="0.2">
      <c r="A15" s="60" t="s">
        <v>1138</v>
      </c>
      <c r="B15" s="60" t="s">
        <v>1139</v>
      </c>
      <c r="C15" s="60" t="s">
        <v>1156</v>
      </c>
      <c r="E15" s="63">
        <v>40</v>
      </c>
      <c r="G15" s="71">
        <f>Resources[[#This Row],[Identified Investment (US$m)]]+Resources[[#This Row],[Estimated Investment (US$m)]]</f>
        <v>40</v>
      </c>
      <c r="H15" s="60" t="s">
        <v>535</v>
      </c>
      <c r="I15" s="60" t="s">
        <v>965</v>
      </c>
      <c r="J15" s="60" t="s">
        <v>1157</v>
      </c>
      <c r="K15" s="60" t="s">
        <v>21</v>
      </c>
      <c r="L15" s="64">
        <v>45108</v>
      </c>
      <c r="N15" s="73"/>
      <c r="Q15" s="73"/>
      <c r="R15" s="73"/>
      <c r="S15" s="73"/>
    </row>
    <row r="16" spans="1:19" ht="34" x14ac:dyDescent="0.2">
      <c r="A16" s="60" t="s">
        <v>1138</v>
      </c>
      <c r="B16" s="60" t="s">
        <v>1139</v>
      </c>
      <c r="C16" s="60" t="s">
        <v>1158</v>
      </c>
      <c r="E16" s="63">
        <v>1300</v>
      </c>
      <c r="G16" s="71">
        <f>Resources[[#This Row],[Identified Investment (US$m)]]+Resources[[#This Row],[Estimated Investment (US$m)]]</f>
        <v>1300</v>
      </c>
      <c r="H16" s="60" t="s">
        <v>253</v>
      </c>
      <c r="I16" s="60" t="s">
        <v>965</v>
      </c>
      <c r="J16" s="60" t="s">
        <v>1159</v>
      </c>
      <c r="K16" s="60" t="s">
        <v>18</v>
      </c>
      <c r="L16" s="64">
        <v>45778</v>
      </c>
      <c r="M16" s="60"/>
      <c r="N16" s="74" t="s">
        <v>1160</v>
      </c>
      <c r="Q16" s="73"/>
      <c r="R16" s="73"/>
      <c r="S16" s="73"/>
    </row>
    <row r="17" spans="1:22" ht="17" x14ac:dyDescent="0.2">
      <c r="A17" s="60" t="s">
        <v>1138</v>
      </c>
      <c r="B17" s="60" t="s">
        <v>1139</v>
      </c>
      <c r="C17" s="60" t="s">
        <v>1161</v>
      </c>
      <c r="D17" s="65" t="s">
        <v>1162</v>
      </c>
      <c r="G17" s="71">
        <f>Resources[[#This Row],[Identified Investment (US$m)]]+Resources[[#This Row],[Estimated Investment (US$m)]]</f>
        <v>0</v>
      </c>
      <c r="H17" s="60" t="s">
        <v>826</v>
      </c>
      <c r="I17" s="60" t="s">
        <v>965</v>
      </c>
      <c r="J17" s="60" t="s">
        <v>1163</v>
      </c>
      <c r="K17" s="60" t="s">
        <v>20</v>
      </c>
      <c r="L17" s="64">
        <v>45658</v>
      </c>
      <c r="N17" s="73"/>
      <c r="Q17" s="73"/>
      <c r="R17" s="73"/>
      <c r="S17" s="73"/>
    </row>
    <row r="18" spans="1:22" ht="34" x14ac:dyDescent="0.2">
      <c r="A18" s="60" t="s">
        <v>1138</v>
      </c>
      <c r="B18" s="60" t="s">
        <v>1139</v>
      </c>
      <c r="C18" s="60" t="s">
        <v>1158</v>
      </c>
      <c r="E18" s="63">
        <v>1750</v>
      </c>
      <c r="G18" s="71">
        <f>Resources[[#This Row],[Identified Investment (US$m)]]+Resources[[#This Row],[Estimated Investment (US$m)]]</f>
        <v>1750</v>
      </c>
      <c r="H18" s="60" t="s">
        <v>251</v>
      </c>
      <c r="I18" s="60" t="s">
        <v>965</v>
      </c>
      <c r="J18" s="65" t="s">
        <v>1164</v>
      </c>
      <c r="K18" s="60" t="s">
        <v>18</v>
      </c>
      <c r="L18" s="64">
        <v>45778</v>
      </c>
      <c r="N18" s="73"/>
      <c r="Q18" s="73"/>
      <c r="R18" s="73"/>
      <c r="S18" s="73"/>
    </row>
    <row r="19" spans="1:22" ht="17" x14ac:dyDescent="0.2">
      <c r="A19" s="60" t="s">
        <v>1138</v>
      </c>
      <c r="B19" s="60" t="s">
        <v>1139</v>
      </c>
      <c r="C19" s="60" t="s">
        <v>1165</v>
      </c>
      <c r="D19" s="60" t="s">
        <v>1166</v>
      </c>
      <c r="E19" s="63">
        <v>612</v>
      </c>
      <c r="G19" s="71">
        <f>Resources[[#This Row],[Identified Investment (US$m)]]+Resources[[#This Row],[Estimated Investment (US$m)]]</f>
        <v>612</v>
      </c>
      <c r="H19" s="60" t="s">
        <v>536</v>
      </c>
      <c r="I19" s="60" t="s">
        <v>965</v>
      </c>
      <c r="J19" s="65" t="s">
        <v>1167</v>
      </c>
      <c r="K19" s="60" t="s">
        <v>18</v>
      </c>
      <c r="L19" s="64">
        <v>45901</v>
      </c>
      <c r="N19" s="73"/>
      <c r="Q19" s="73"/>
      <c r="R19" s="73"/>
      <c r="S19" s="73"/>
    </row>
    <row r="20" spans="1:22" ht="17" x14ac:dyDescent="0.2">
      <c r="A20" s="60" t="s">
        <v>1138</v>
      </c>
      <c r="B20" s="60" t="s">
        <v>1139</v>
      </c>
      <c r="C20" s="60" t="s">
        <v>421</v>
      </c>
      <c r="E20" s="63">
        <v>962</v>
      </c>
      <c r="G20" s="71">
        <f>Resources[[#This Row],[Identified Investment (US$m)]]+Resources[[#This Row],[Estimated Investment (US$m)]]</f>
        <v>962</v>
      </c>
      <c r="H20" s="60" t="s">
        <v>243</v>
      </c>
      <c r="I20" s="60" t="s">
        <v>29</v>
      </c>
      <c r="J20" s="60" t="s">
        <v>1168</v>
      </c>
      <c r="K20" s="60" t="s">
        <v>1056</v>
      </c>
      <c r="L20" s="64">
        <v>44743</v>
      </c>
      <c r="N20" s="73"/>
      <c r="Q20" s="73"/>
      <c r="R20" s="73"/>
      <c r="S20" s="73"/>
    </row>
    <row r="21" spans="1:22" ht="17" x14ac:dyDescent="0.2">
      <c r="A21" s="60" t="s">
        <v>1138</v>
      </c>
      <c r="B21" s="60" t="s">
        <v>1139</v>
      </c>
      <c r="C21" s="60" t="s">
        <v>421</v>
      </c>
      <c r="E21" s="63">
        <v>70</v>
      </c>
      <c r="G21" s="71">
        <f>Resources[[#This Row],[Identified Investment (US$m)]]+Resources[[#This Row],[Estimated Investment (US$m)]]</f>
        <v>70</v>
      </c>
      <c r="H21" s="60" t="s">
        <v>243</v>
      </c>
      <c r="I21" s="60" t="s">
        <v>29</v>
      </c>
      <c r="J21" s="60" t="s">
        <v>1169</v>
      </c>
      <c r="K21" s="60" t="s">
        <v>1056</v>
      </c>
      <c r="L21" s="64">
        <v>45352</v>
      </c>
      <c r="N21" s="73"/>
      <c r="Q21" s="73"/>
      <c r="R21" s="73"/>
      <c r="S21" s="73"/>
    </row>
    <row r="22" spans="1:22" ht="34" x14ac:dyDescent="0.2">
      <c r="A22" s="60" t="s">
        <v>1138</v>
      </c>
      <c r="B22" s="60" t="s">
        <v>1139</v>
      </c>
      <c r="C22" s="60" t="s">
        <v>1161</v>
      </c>
      <c r="E22" s="63">
        <v>600</v>
      </c>
      <c r="G22" s="71">
        <f>Resources[[#This Row],[Identified Investment (US$m)]]+Resources[[#This Row],[Estimated Investment (US$m)]]</f>
        <v>600</v>
      </c>
      <c r="H22" s="60" t="s">
        <v>243</v>
      </c>
      <c r="I22" s="60" t="s">
        <v>29</v>
      </c>
      <c r="J22" s="65" t="s">
        <v>1170</v>
      </c>
      <c r="K22" s="60" t="s">
        <v>21</v>
      </c>
      <c r="L22" s="64">
        <v>45901</v>
      </c>
      <c r="N22" s="73"/>
      <c r="Q22" s="73"/>
      <c r="R22" s="73"/>
      <c r="S22" s="73"/>
    </row>
    <row r="23" spans="1:22" ht="34" x14ac:dyDescent="0.2">
      <c r="A23" s="60" t="s">
        <v>1138</v>
      </c>
      <c r="B23" s="60" t="s">
        <v>1139</v>
      </c>
      <c r="C23" s="60" t="s">
        <v>414</v>
      </c>
      <c r="E23" s="63">
        <v>1000</v>
      </c>
      <c r="G23" s="71">
        <f>Resources[[#This Row],[Identified Investment (US$m)]]+Resources[[#This Row],[Estimated Investment (US$m)]]</f>
        <v>1000</v>
      </c>
      <c r="H23" s="60" t="s">
        <v>538</v>
      </c>
      <c r="I23" s="60" t="s">
        <v>29</v>
      </c>
      <c r="J23" s="65" t="s">
        <v>1171</v>
      </c>
      <c r="K23" s="60" t="s">
        <v>18</v>
      </c>
      <c r="L23" s="64">
        <v>45078</v>
      </c>
      <c r="N23" s="73"/>
      <c r="Q23" s="73"/>
      <c r="R23" s="73"/>
      <c r="S23" s="73"/>
    </row>
    <row r="24" spans="1:22" ht="34" hidden="1" x14ac:dyDescent="0.2">
      <c r="A24" s="60" t="s">
        <v>1138</v>
      </c>
      <c r="B24" s="60" t="s">
        <v>1139</v>
      </c>
      <c r="C24" s="60" t="s">
        <v>421</v>
      </c>
      <c r="E24" s="60">
        <v>800</v>
      </c>
      <c r="G24" s="71">
        <f>Resources[[#This Row],[Identified Investment (US$m)]]+Resources[[#This Row],[Estimated Investment (US$m)]]</f>
        <v>800</v>
      </c>
      <c r="H24" s="60" t="s">
        <v>541</v>
      </c>
      <c r="I24" s="60" t="s">
        <v>29</v>
      </c>
      <c r="J24" s="60" t="s">
        <v>1172</v>
      </c>
      <c r="K24" s="60" t="s">
        <v>24</v>
      </c>
      <c r="L24" s="64">
        <v>45231</v>
      </c>
      <c r="M24" s="60"/>
    </row>
    <row r="25" spans="1:22" ht="17" x14ac:dyDescent="0.2">
      <c r="A25" s="60" t="s">
        <v>1138</v>
      </c>
      <c r="B25" s="60" t="s">
        <v>1139</v>
      </c>
      <c r="C25" s="60" t="s">
        <v>1142</v>
      </c>
      <c r="E25" s="63">
        <v>128.78</v>
      </c>
      <c r="G25" s="71">
        <f>Resources[[#This Row],[Identified Investment (US$m)]]+Resources[[#This Row],[Estimated Investment (US$m)]]</f>
        <v>128.78</v>
      </c>
      <c r="H25" s="60" t="s">
        <v>534</v>
      </c>
      <c r="I25" s="60" t="s">
        <v>28</v>
      </c>
      <c r="J25" s="60" t="s">
        <v>1173</v>
      </c>
      <c r="K25" s="60" t="s">
        <v>18</v>
      </c>
      <c r="L25" s="64">
        <v>44958</v>
      </c>
      <c r="N25" s="73"/>
      <c r="Q25" s="73"/>
      <c r="R25" s="73"/>
      <c r="S25" s="73"/>
    </row>
    <row r="26" spans="1:22" ht="17" x14ac:dyDescent="0.2">
      <c r="A26" s="60" t="s">
        <v>1138</v>
      </c>
      <c r="B26" s="60" t="s">
        <v>1139</v>
      </c>
      <c r="C26" s="60" t="s">
        <v>1142</v>
      </c>
      <c r="E26" s="63">
        <v>20</v>
      </c>
      <c r="G26" s="71">
        <f>Resources[[#This Row],[Identified Investment (US$m)]]+Resources[[#This Row],[Estimated Investment (US$m)]]</f>
        <v>20</v>
      </c>
      <c r="H26" s="60" t="s">
        <v>1174</v>
      </c>
      <c r="I26" s="60" t="s">
        <v>31</v>
      </c>
      <c r="J26" s="60" t="s">
        <v>1175</v>
      </c>
      <c r="K26" s="60" t="s">
        <v>1056</v>
      </c>
      <c r="L26" s="64">
        <v>44958</v>
      </c>
      <c r="N26" s="73"/>
      <c r="Q26" s="73"/>
      <c r="R26" s="73"/>
      <c r="S26" s="73"/>
    </row>
    <row r="27" spans="1:22" ht="17" x14ac:dyDescent="0.2">
      <c r="A27" s="60" t="s">
        <v>1138</v>
      </c>
      <c r="B27" s="60" t="s">
        <v>1139</v>
      </c>
      <c r="C27" s="72" t="s">
        <v>1323</v>
      </c>
      <c r="D27" s="72" t="s">
        <v>1324</v>
      </c>
      <c r="G27" s="85">
        <f>Resources[[#This Row],[Identified Investment (US$m)]]+Resources[[#This Row],[Estimated Investment (US$m)]]</f>
        <v>0</v>
      </c>
      <c r="I27" s="72" t="s">
        <v>844</v>
      </c>
      <c r="K27" s="72" t="s">
        <v>18</v>
      </c>
      <c r="L27" s="64"/>
      <c r="M27" s="60"/>
      <c r="N27" s="73" t="s">
        <v>1325</v>
      </c>
      <c r="P27" s="76" t="s">
        <v>1326</v>
      </c>
      <c r="Q27" s="73"/>
      <c r="R27" s="73"/>
      <c r="S27" s="73"/>
    </row>
    <row r="28" spans="1:22" ht="17" x14ac:dyDescent="0.2">
      <c r="A28" s="60" t="s">
        <v>1138</v>
      </c>
      <c r="B28" s="60" t="s">
        <v>1139</v>
      </c>
      <c r="C28" s="60" t="s">
        <v>1328</v>
      </c>
      <c r="D28" s="60" t="s">
        <v>1329</v>
      </c>
      <c r="E28" s="63">
        <v>100</v>
      </c>
      <c r="G28" s="85">
        <f>Resources[[#This Row],[Identified Investment (US$m)]]+Resources[[#This Row],[Estimated Investment (US$m)]]</f>
        <v>100</v>
      </c>
      <c r="H28" s="60" t="s">
        <v>243</v>
      </c>
      <c r="I28" s="60" t="s">
        <v>29</v>
      </c>
      <c r="J28" s="60" t="s">
        <v>1330</v>
      </c>
      <c r="K28" s="60" t="s">
        <v>1056</v>
      </c>
      <c r="L28" s="64">
        <v>46113</v>
      </c>
      <c r="M28" s="60"/>
      <c r="N28" s="76" t="s">
        <v>1331</v>
      </c>
      <c r="P28" s="86"/>
      <c r="Q28" s="73"/>
      <c r="R28" s="73"/>
      <c r="S28" s="73"/>
    </row>
    <row r="29" spans="1:22" ht="17" x14ac:dyDescent="0.2">
      <c r="A29" s="60" t="s">
        <v>1176</v>
      </c>
      <c r="B29" s="60" t="s">
        <v>1177</v>
      </c>
      <c r="C29" s="60" t="s">
        <v>1178</v>
      </c>
      <c r="E29" s="63">
        <f>Simandou!F14*1000</f>
        <v>23200</v>
      </c>
      <c r="G29" s="71">
        <f>Resources[[#This Row],[Identified Investment (US$m)]]+Resources[[#This Row],[Estimated Investment (US$m)]]</f>
        <v>23200</v>
      </c>
      <c r="H29" s="60" t="s">
        <v>1179</v>
      </c>
      <c r="I29" s="60" t="s">
        <v>965</v>
      </c>
      <c r="J29" s="60" t="s">
        <v>1180</v>
      </c>
      <c r="K29" s="60" t="s">
        <v>21</v>
      </c>
      <c r="L29" s="64">
        <v>45474</v>
      </c>
      <c r="N29" s="73"/>
      <c r="Q29" s="73"/>
      <c r="R29" s="73"/>
      <c r="S29" s="73"/>
    </row>
    <row r="30" spans="1:22" s="60" customFormat="1" ht="51" x14ac:dyDescent="0.2">
      <c r="A30" s="60" t="s">
        <v>1176</v>
      </c>
      <c r="B30" s="60" t="s">
        <v>1177</v>
      </c>
      <c r="C30" s="65" t="s">
        <v>1181</v>
      </c>
      <c r="E30" s="63">
        <v>230</v>
      </c>
      <c r="G30" s="71">
        <f>Resources[[#This Row],[Identified Investment (US$m)]]+Resources[[#This Row],[Estimated Investment (US$m)]]</f>
        <v>230</v>
      </c>
      <c r="H30" s="60" t="s">
        <v>1182</v>
      </c>
      <c r="I30" s="60" t="s">
        <v>965</v>
      </c>
      <c r="J30" s="65" t="s">
        <v>1183</v>
      </c>
      <c r="K30" s="60" t="s">
        <v>21</v>
      </c>
      <c r="L30" s="64">
        <v>45748</v>
      </c>
      <c r="M30" s="73"/>
      <c r="N30" s="73"/>
      <c r="Q30" s="73"/>
      <c r="R30" s="73"/>
      <c r="S30" s="73"/>
      <c r="T30" s="73"/>
      <c r="U30" s="73"/>
      <c r="V30" s="73"/>
    </row>
    <row r="31" spans="1:22" s="60" customFormat="1" ht="34" x14ac:dyDescent="0.2">
      <c r="A31" s="60" t="s">
        <v>1176</v>
      </c>
      <c r="B31" s="60" t="s">
        <v>1184</v>
      </c>
      <c r="C31" s="65" t="s">
        <v>1185</v>
      </c>
      <c r="E31" s="63">
        <v>1500</v>
      </c>
      <c r="G31" s="71">
        <f>Resources[[#This Row],[Identified Investment (US$m)]]+Resources[[#This Row],[Estimated Investment (US$m)]]</f>
        <v>1500</v>
      </c>
      <c r="H31" s="60" t="s">
        <v>535</v>
      </c>
      <c r="I31" s="60" t="s">
        <v>965</v>
      </c>
      <c r="J31" s="65" t="s">
        <v>1186</v>
      </c>
      <c r="K31" s="60" t="s">
        <v>20</v>
      </c>
      <c r="L31" s="64">
        <v>46023</v>
      </c>
      <c r="M31" s="73"/>
      <c r="N31" s="73"/>
      <c r="Q31" s="73"/>
      <c r="R31" s="73"/>
      <c r="S31" s="73"/>
      <c r="T31" s="73"/>
      <c r="U31" s="73"/>
      <c r="V31" s="73"/>
    </row>
    <row r="32" spans="1:22" s="60" customFormat="1" ht="34" x14ac:dyDescent="0.2">
      <c r="A32" s="60" t="s">
        <v>1176</v>
      </c>
      <c r="B32" s="60" t="s">
        <v>1177</v>
      </c>
      <c r="C32" s="60" t="s">
        <v>1187</v>
      </c>
      <c r="E32" s="63">
        <v>1800</v>
      </c>
      <c r="G32" s="71">
        <f>Resources[[#This Row],[Identified Investment (US$m)]]+Resources[[#This Row],[Estimated Investment (US$m)]]</f>
        <v>1800</v>
      </c>
      <c r="H32" s="60" t="s">
        <v>245</v>
      </c>
      <c r="I32" s="60" t="s">
        <v>29</v>
      </c>
      <c r="J32" s="65" t="s">
        <v>1188</v>
      </c>
      <c r="K32" s="60" t="s">
        <v>18</v>
      </c>
      <c r="L32" s="60">
        <v>2026</v>
      </c>
      <c r="M32" s="73"/>
      <c r="N32" s="73"/>
      <c r="Q32" s="73"/>
      <c r="R32" s="73"/>
      <c r="S32" s="73"/>
      <c r="T32" s="73"/>
      <c r="U32" s="73"/>
      <c r="V32" s="73"/>
    </row>
    <row r="33" spans="1:22" s="60" customFormat="1" ht="51" x14ac:dyDescent="0.2">
      <c r="A33" s="60" t="s">
        <v>1176</v>
      </c>
      <c r="B33" s="60" t="s">
        <v>1177</v>
      </c>
      <c r="C33" s="60" t="s">
        <v>1189</v>
      </c>
      <c r="D33" s="60" t="s">
        <v>1190</v>
      </c>
      <c r="E33" s="63">
        <v>627</v>
      </c>
      <c r="G33" s="71">
        <f>Resources[[#This Row],[Identified Investment (US$m)]]+Resources[[#This Row],[Estimated Investment (US$m)]]</f>
        <v>627</v>
      </c>
      <c r="H33" s="60" t="s">
        <v>139</v>
      </c>
      <c r="I33" s="60" t="s">
        <v>845</v>
      </c>
      <c r="J33" s="65" t="s">
        <v>1191</v>
      </c>
      <c r="K33" s="72" t="s">
        <v>20</v>
      </c>
      <c r="L33" s="64">
        <v>45839</v>
      </c>
      <c r="M33" s="73"/>
      <c r="N33" s="76" t="s">
        <v>1333</v>
      </c>
      <c r="Q33" s="73"/>
      <c r="R33" s="73"/>
      <c r="S33" s="73"/>
      <c r="T33" s="73"/>
      <c r="U33" s="73"/>
      <c r="V33" s="73"/>
    </row>
    <row r="34" spans="1:22" s="60" customFormat="1" ht="34" x14ac:dyDescent="0.2">
      <c r="A34" s="60" t="s">
        <v>1176</v>
      </c>
      <c r="B34" s="60" t="s">
        <v>1184</v>
      </c>
      <c r="C34" s="60" t="s">
        <v>1192</v>
      </c>
      <c r="D34" s="60" t="s">
        <v>1193</v>
      </c>
      <c r="E34" s="63">
        <v>1200</v>
      </c>
      <c r="G34" s="71">
        <f>Resources[[#This Row],[Identified Investment (US$m)]]+Resources[[#This Row],[Estimated Investment (US$m)]]</f>
        <v>1200</v>
      </c>
      <c r="H34" s="60" t="s">
        <v>82</v>
      </c>
      <c r="I34" s="60" t="s">
        <v>31</v>
      </c>
      <c r="J34" s="65" t="s">
        <v>1194</v>
      </c>
      <c r="K34" s="60" t="s">
        <v>20</v>
      </c>
      <c r="L34" s="64">
        <v>45689</v>
      </c>
      <c r="M34" s="73"/>
      <c r="N34" s="73"/>
      <c r="Q34" s="73"/>
      <c r="R34" s="73"/>
      <c r="S34" s="73"/>
      <c r="T34" s="73"/>
      <c r="U34" s="73"/>
      <c r="V34" s="73"/>
    </row>
    <row r="35" spans="1:22" s="60" customFormat="1" ht="34" x14ac:dyDescent="0.2">
      <c r="A35" s="60" t="s">
        <v>1176</v>
      </c>
      <c r="B35" s="60" t="s">
        <v>1184</v>
      </c>
      <c r="C35" s="60" t="s">
        <v>1185</v>
      </c>
      <c r="E35" s="63">
        <v>800</v>
      </c>
      <c r="G35" s="71">
        <f>Resources[[#This Row],[Identified Investment (US$m)]]+Resources[[#This Row],[Estimated Investment (US$m)]]</f>
        <v>800</v>
      </c>
      <c r="H35" s="60" t="s">
        <v>535</v>
      </c>
      <c r="I35" s="60" t="s">
        <v>965</v>
      </c>
      <c r="J35" s="65" t="s">
        <v>1195</v>
      </c>
      <c r="K35" s="60" t="s">
        <v>18</v>
      </c>
      <c r="L35" s="64">
        <v>45870</v>
      </c>
      <c r="M35" s="73"/>
      <c r="N35" s="73"/>
      <c r="Q35" s="73"/>
      <c r="R35" s="73"/>
      <c r="S35" s="73"/>
      <c r="T35" s="73"/>
      <c r="U35" s="73"/>
      <c r="V35" s="73"/>
    </row>
    <row r="36" spans="1:22" s="60" customFormat="1" ht="34" x14ac:dyDescent="0.2">
      <c r="A36" s="60" t="s">
        <v>1176</v>
      </c>
      <c r="B36" s="60" t="s">
        <v>1184</v>
      </c>
      <c r="C36" s="60" t="s">
        <v>1196</v>
      </c>
      <c r="D36" s="60" t="s">
        <v>1197</v>
      </c>
      <c r="E36" s="63">
        <f>4000</f>
        <v>4000</v>
      </c>
      <c r="G36" s="71">
        <f>Resources[[#This Row],[Identified Investment (US$m)]]+Resources[[#This Row],[Estimated Investment (US$m)]]</f>
        <v>4000</v>
      </c>
      <c r="H36" s="60" t="s">
        <v>136</v>
      </c>
      <c r="I36" s="60" t="s">
        <v>845</v>
      </c>
      <c r="J36" s="65" t="s">
        <v>1198</v>
      </c>
      <c r="K36" s="60" t="s">
        <v>20</v>
      </c>
      <c r="L36" s="64">
        <v>45901</v>
      </c>
      <c r="M36" s="73"/>
      <c r="N36" s="73"/>
      <c r="Q36" s="73"/>
      <c r="R36" s="73"/>
      <c r="S36" s="73"/>
      <c r="T36" s="73"/>
      <c r="U36" s="73"/>
      <c r="V36" s="73"/>
    </row>
    <row r="37" spans="1:22" s="60" customFormat="1" ht="34" x14ac:dyDescent="0.2">
      <c r="A37" s="60" t="s">
        <v>1176</v>
      </c>
      <c r="B37" s="60" t="s">
        <v>1184</v>
      </c>
      <c r="C37" s="60" t="s">
        <v>1185</v>
      </c>
      <c r="E37" s="63">
        <v>10000</v>
      </c>
      <c r="G37" s="71">
        <f>Resources[[#This Row],[Identified Investment (US$m)]]+Resources[[#This Row],[Estimated Investment (US$m)]]</f>
        <v>10000</v>
      </c>
      <c r="H37" s="60" t="s">
        <v>139</v>
      </c>
      <c r="I37" s="60" t="s">
        <v>845</v>
      </c>
      <c r="J37" s="65" t="s">
        <v>1199</v>
      </c>
      <c r="K37" s="60" t="s">
        <v>18</v>
      </c>
      <c r="L37" s="64">
        <v>45992</v>
      </c>
      <c r="M37" s="73"/>
      <c r="N37" s="73"/>
      <c r="Q37" s="73"/>
      <c r="R37" s="73"/>
      <c r="S37" s="73"/>
      <c r="T37" s="73"/>
      <c r="U37" s="73"/>
      <c r="V37" s="73"/>
    </row>
    <row r="38" spans="1:22" s="60" customFormat="1" ht="17" hidden="1" x14ac:dyDescent="0.2">
      <c r="A38" s="60" t="s">
        <v>1200</v>
      </c>
      <c r="B38" s="60" t="s">
        <v>1201</v>
      </c>
      <c r="C38" s="60" t="s">
        <v>1202</v>
      </c>
      <c r="E38" s="63">
        <v>478</v>
      </c>
      <c r="G38" s="60">
        <f>Resources[[#This Row],[Identified Investment (US$m)]]+Resources[[#This Row],[Estimated Investment (US$m)]]</f>
        <v>478</v>
      </c>
      <c r="H38" s="60" t="s">
        <v>1203</v>
      </c>
      <c r="I38" s="60" t="s">
        <v>29</v>
      </c>
      <c r="J38" s="60" t="s">
        <v>1204</v>
      </c>
      <c r="K38" s="60" t="s">
        <v>1056</v>
      </c>
      <c r="L38" s="64">
        <v>45383</v>
      </c>
    </row>
    <row r="39" spans="1:22" s="60" customFormat="1" ht="17" hidden="1" x14ac:dyDescent="0.2">
      <c r="A39" s="60" t="s">
        <v>1200</v>
      </c>
      <c r="B39" s="60" t="s">
        <v>1201</v>
      </c>
      <c r="C39" s="60" t="s">
        <v>1205</v>
      </c>
      <c r="E39" s="63">
        <v>419</v>
      </c>
      <c r="G39" s="60">
        <f>Resources[[#This Row],[Identified Investment (US$m)]]+Resources[[#This Row],[Estimated Investment (US$m)]]</f>
        <v>419</v>
      </c>
      <c r="H39" s="60" t="s">
        <v>1206</v>
      </c>
      <c r="I39" s="60" t="s">
        <v>29</v>
      </c>
      <c r="J39" s="60" t="s">
        <v>1207</v>
      </c>
      <c r="K39" s="60" t="s">
        <v>1056</v>
      </c>
      <c r="L39" s="64">
        <v>45748</v>
      </c>
    </row>
    <row r="40" spans="1:22" s="60" customFormat="1" ht="17" hidden="1" x14ac:dyDescent="0.2">
      <c r="A40" s="60" t="s">
        <v>1200</v>
      </c>
      <c r="B40" s="60" t="s">
        <v>1201</v>
      </c>
      <c r="C40" s="60" t="s">
        <v>1161</v>
      </c>
      <c r="E40" s="63">
        <v>1200</v>
      </c>
      <c r="G40" s="60">
        <f>Resources[[#This Row],[Identified Investment (US$m)]]+Resources[[#This Row],[Estimated Investment (US$m)]]</f>
        <v>1200</v>
      </c>
      <c r="H40" s="60" t="s">
        <v>82</v>
      </c>
      <c r="I40" s="60" t="s">
        <v>31</v>
      </c>
      <c r="J40" s="60" t="s">
        <v>1208</v>
      </c>
      <c r="K40" s="60" t="s">
        <v>1056</v>
      </c>
      <c r="L40" s="64">
        <v>45809</v>
      </c>
    </row>
    <row r="41" spans="1:22" s="60" customFormat="1" ht="17" hidden="1" x14ac:dyDescent="0.2">
      <c r="A41" s="60" t="s">
        <v>1200</v>
      </c>
      <c r="B41" s="60" t="s">
        <v>1201</v>
      </c>
      <c r="C41" s="60" t="s">
        <v>1161</v>
      </c>
      <c r="E41" s="63">
        <v>1000</v>
      </c>
      <c r="G41" s="60">
        <f>Resources[[#This Row],[Identified Investment (US$m)]]+Resources[[#This Row],[Estimated Investment (US$m)]]</f>
        <v>1000</v>
      </c>
      <c r="H41" s="60" t="s">
        <v>1209</v>
      </c>
      <c r="I41" s="60" t="s">
        <v>965</v>
      </c>
      <c r="J41" s="60" t="s">
        <v>1210</v>
      </c>
      <c r="K41" s="60" t="s">
        <v>1056</v>
      </c>
      <c r="L41" s="64">
        <v>45870</v>
      </c>
    </row>
    <row r="42" spans="1:22" s="60" customFormat="1" ht="17" hidden="1" x14ac:dyDescent="0.2">
      <c r="A42" s="60" t="s">
        <v>1200</v>
      </c>
      <c r="B42" s="60" t="s">
        <v>1201</v>
      </c>
      <c r="C42" s="60" t="s">
        <v>1205</v>
      </c>
      <c r="E42" s="63">
        <v>1020</v>
      </c>
      <c r="G42" s="60">
        <f>Resources[[#This Row],[Identified Investment (US$m)]]+Resources[[#This Row],[Estimated Investment (US$m)]]</f>
        <v>1020</v>
      </c>
      <c r="H42" s="60" t="s">
        <v>75</v>
      </c>
      <c r="I42" s="60" t="s">
        <v>29</v>
      </c>
      <c r="J42" s="60" t="s">
        <v>1211</v>
      </c>
      <c r="K42" s="60" t="s">
        <v>1056</v>
      </c>
      <c r="L42" s="64">
        <v>45992</v>
      </c>
    </row>
    <row r="43" spans="1:22" s="60" customFormat="1" ht="17" hidden="1" x14ac:dyDescent="0.2">
      <c r="A43" s="60" t="s">
        <v>1200</v>
      </c>
      <c r="B43" s="60" t="s">
        <v>1201</v>
      </c>
      <c r="C43" s="60" t="s">
        <v>1212</v>
      </c>
      <c r="E43" s="60">
        <v>4000</v>
      </c>
      <c r="G43" s="60">
        <f>Resources[[#This Row],[Identified Investment (US$m)]]+Resources[[#This Row],[Estimated Investment (US$m)]]</f>
        <v>4000</v>
      </c>
      <c r="I43" s="60" t="s">
        <v>965</v>
      </c>
      <c r="J43" s="60" t="s">
        <v>1213</v>
      </c>
      <c r="K43" s="60" t="s">
        <v>963</v>
      </c>
      <c r="L43" s="64">
        <v>46023</v>
      </c>
    </row>
    <row r="44" spans="1:22" s="60" customFormat="1" ht="17" x14ac:dyDescent="0.2">
      <c r="A44" s="60" t="s">
        <v>1176</v>
      </c>
      <c r="B44" s="60" t="s">
        <v>1214</v>
      </c>
      <c r="C44" s="60" t="s">
        <v>1118</v>
      </c>
      <c r="E44" s="63">
        <v>1350</v>
      </c>
      <c r="G44" s="71">
        <f>Resources[[#This Row],[Identified Investment (US$m)]]+Resources[[#This Row],[Estimated Investment (US$m)]]</f>
        <v>1350</v>
      </c>
      <c r="H44" s="60" t="s">
        <v>245</v>
      </c>
      <c r="I44" s="60" t="s">
        <v>29</v>
      </c>
      <c r="J44" s="60" t="s">
        <v>1215</v>
      </c>
      <c r="K44" s="60" t="s">
        <v>20</v>
      </c>
      <c r="L44" s="64">
        <v>45047</v>
      </c>
      <c r="M44" s="73"/>
      <c r="N44" s="73"/>
      <c r="Q44" s="73"/>
      <c r="R44" s="73"/>
      <c r="S44" s="73"/>
      <c r="T44" s="73"/>
      <c r="U44" s="73"/>
      <c r="V44" s="73"/>
    </row>
    <row r="45" spans="1:22" s="60" customFormat="1" ht="17" x14ac:dyDescent="0.2">
      <c r="A45" s="60" t="s">
        <v>1176</v>
      </c>
      <c r="B45" s="60" t="s">
        <v>1214</v>
      </c>
      <c r="C45" s="60" t="s">
        <v>1216</v>
      </c>
      <c r="E45" s="63">
        <v>420</v>
      </c>
      <c r="G45" s="71">
        <f>Resources[[#This Row],[Identified Investment (US$m)]]+Resources[[#This Row],[Estimated Investment (US$m)]]</f>
        <v>420</v>
      </c>
      <c r="H45" s="60" t="s">
        <v>75</v>
      </c>
      <c r="I45" s="60" t="s">
        <v>29</v>
      </c>
      <c r="J45" s="60" t="s">
        <v>1217</v>
      </c>
      <c r="K45" s="60" t="s">
        <v>1056</v>
      </c>
      <c r="L45" s="64">
        <v>45748</v>
      </c>
      <c r="M45" s="73"/>
      <c r="N45" s="73"/>
      <c r="Q45" s="73"/>
      <c r="R45" s="73"/>
      <c r="S45" s="73"/>
      <c r="T45" s="73"/>
      <c r="U45" s="73"/>
      <c r="V45" s="73"/>
    </row>
    <row r="46" spans="1:22" s="60" customFormat="1" ht="34" x14ac:dyDescent="0.2">
      <c r="A46" s="60" t="s">
        <v>1176</v>
      </c>
      <c r="B46" s="60" t="s">
        <v>1214</v>
      </c>
      <c r="C46" s="60" t="s">
        <v>1218</v>
      </c>
      <c r="E46" s="63">
        <v>300</v>
      </c>
      <c r="G46" s="71">
        <f>Resources[[#This Row],[Identified Investment (US$m)]]+Resources[[#This Row],[Estimated Investment (US$m)]]</f>
        <v>300</v>
      </c>
      <c r="H46" s="60" t="s">
        <v>1219</v>
      </c>
      <c r="I46" s="60" t="s">
        <v>965</v>
      </c>
      <c r="J46" s="60" t="s">
        <v>1220</v>
      </c>
      <c r="K46" s="60" t="s">
        <v>21</v>
      </c>
      <c r="L46" s="64">
        <v>45170</v>
      </c>
      <c r="M46" s="73"/>
      <c r="N46" s="73"/>
      <c r="Q46" s="73"/>
      <c r="R46" s="73"/>
      <c r="S46" s="73"/>
      <c r="T46" s="73"/>
      <c r="U46" s="73"/>
      <c r="V46" s="73"/>
    </row>
    <row r="47" spans="1:22" s="60" customFormat="1" ht="17" x14ac:dyDescent="0.2">
      <c r="A47" s="60" t="s">
        <v>1176</v>
      </c>
      <c r="B47" s="60" t="s">
        <v>1214</v>
      </c>
      <c r="C47" s="60" t="s">
        <v>1205</v>
      </c>
      <c r="E47" s="63">
        <v>1100</v>
      </c>
      <c r="G47" s="71">
        <f>Resources[[#This Row],[Identified Investment (US$m)]]+Resources[[#This Row],[Estimated Investment (US$m)]]</f>
        <v>1100</v>
      </c>
      <c r="H47" s="60" t="s">
        <v>1219</v>
      </c>
      <c r="I47" s="60" t="s">
        <v>965</v>
      </c>
      <c r="J47" s="65" t="s">
        <v>1221</v>
      </c>
      <c r="K47" s="60" t="s">
        <v>20</v>
      </c>
      <c r="L47" s="64">
        <v>45931</v>
      </c>
      <c r="M47" s="73"/>
      <c r="N47" s="73"/>
      <c r="Q47" s="73"/>
      <c r="R47" s="73"/>
      <c r="S47" s="73"/>
      <c r="T47" s="73"/>
      <c r="U47" s="73"/>
      <c r="V47" s="73"/>
    </row>
    <row r="48" spans="1:22" s="60" customFormat="1" ht="51" x14ac:dyDescent="0.2">
      <c r="A48" s="60" t="s">
        <v>1176</v>
      </c>
      <c r="B48" s="60" t="s">
        <v>1214</v>
      </c>
      <c r="C48" s="60" t="s">
        <v>1161</v>
      </c>
      <c r="E48" s="63">
        <f>1100</f>
        <v>1100</v>
      </c>
      <c r="G48" s="71">
        <f>Resources[[#This Row],[Identified Investment (US$m)]]+Resources[[#This Row],[Estimated Investment (US$m)]]</f>
        <v>1100</v>
      </c>
      <c r="H48" s="60" t="s">
        <v>1219</v>
      </c>
      <c r="I48" s="60" t="s">
        <v>965</v>
      </c>
      <c r="J48" s="65" t="s">
        <v>1222</v>
      </c>
      <c r="K48" s="60" t="s">
        <v>21</v>
      </c>
      <c r="L48" s="64">
        <v>45992</v>
      </c>
      <c r="M48" s="73"/>
      <c r="N48" s="73"/>
      <c r="Q48" s="73"/>
      <c r="R48" s="73"/>
      <c r="S48" s="73"/>
      <c r="T48" s="73"/>
      <c r="U48" s="73"/>
      <c r="V48" s="73"/>
    </row>
    <row r="49" spans="1:22" s="60" customFormat="1" ht="17" x14ac:dyDescent="0.2">
      <c r="A49" s="60" t="s">
        <v>1176</v>
      </c>
      <c r="B49" s="60" t="s">
        <v>1214</v>
      </c>
      <c r="C49" s="60" t="s">
        <v>1223</v>
      </c>
      <c r="E49" s="63">
        <v>4000</v>
      </c>
      <c r="G49" s="71">
        <f>Resources[[#This Row],[Identified Investment (US$m)]]+Resources[[#This Row],[Estimated Investment (US$m)]]</f>
        <v>4000</v>
      </c>
      <c r="H49" s="60" t="s">
        <v>1219</v>
      </c>
      <c r="I49" s="60" t="s">
        <v>965</v>
      </c>
      <c r="J49" s="60" t="s">
        <v>1224</v>
      </c>
      <c r="K49" s="60" t="s">
        <v>20</v>
      </c>
      <c r="L49" s="64">
        <v>45413</v>
      </c>
      <c r="M49" s="73"/>
      <c r="N49" s="73"/>
      <c r="Q49" s="73"/>
      <c r="R49" s="73"/>
      <c r="S49" s="73"/>
      <c r="T49" s="73"/>
      <c r="U49" s="73"/>
      <c r="V49" s="73"/>
    </row>
    <row r="50" spans="1:22" s="60" customFormat="1" ht="17" hidden="1" x14ac:dyDescent="0.2">
      <c r="A50" s="60" t="s">
        <v>1176</v>
      </c>
      <c r="B50" s="60" t="s">
        <v>1214</v>
      </c>
      <c r="C50" s="60" t="s">
        <v>1225</v>
      </c>
      <c r="E50" s="60">
        <v>165</v>
      </c>
      <c r="G50" s="71">
        <f>Resources[[#This Row],[Identified Investment (US$m)]]+Resources[[#This Row],[Estimated Investment (US$m)]]</f>
        <v>165</v>
      </c>
      <c r="H50" s="60" t="s">
        <v>1219</v>
      </c>
      <c r="I50" s="60" t="s">
        <v>965</v>
      </c>
      <c r="J50" s="74" t="s">
        <v>1226</v>
      </c>
      <c r="K50" s="60" t="s">
        <v>963</v>
      </c>
      <c r="L50" s="64">
        <v>45839</v>
      </c>
    </row>
    <row r="51" spans="1:22" s="60" customFormat="1" ht="17" hidden="1" x14ac:dyDescent="0.2">
      <c r="A51" s="60" t="s">
        <v>1176</v>
      </c>
      <c r="B51" s="60" t="s">
        <v>1214</v>
      </c>
      <c r="C51" s="60" t="s">
        <v>1227</v>
      </c>
      <c r="E51" s="60">
        <v>1000</v>
      </c>
      <c r="G51" s="71">
        <f>Resources[[#This Row],[Identified Investment (US$m)]]+Resources[[#This Row],[Estimated Investment (US$m)]]</f>
        <v>1000</v>
      </c>
      <c r="H51" s="60" t="s">
        <v>1206</v>
      </c>
      <c r="I51" s="60" t="s">
        <v>29</v>
      </c>
      <c r="J51" s="60" t="s">
        <v>1228</v>
      </c>
      <c r="K51" s="60" t="s">
        <v>963</v>
      </c>
      <c r="L51" s="64">
        <v>45992</v>
      </c>
    </row>
    <row r="52" spans="1:22" s="60" customFormat="1" ht="34" x14ac:dyDescent="0.2">
      <c r="A52" s="60" t="s">
        <v>1176</v>
      </c>
      <c r="B52" s="60" t="s">
        <v>1214</v>
      </c>
      <c r="C52" s="60" t="s">
        <v>1229</v>
      </c>
      <c r="E52" s="63">
        <v>150</v>
      </c>
      <c r="G52" s="71">
        <f>Resources[[#This Row],[Identified Investment (US$m)]]+Resources[[#This Row],[Estimated Investment (US$m)]]</f>
        <v>150</v>
      </c>
      <c r="H52" s="60" t="s">
        <v>1230</v>
      </c>
      <c r="I52" s="60" t="s">
        <v>965</v>
      </c>
      <c r="J52" s="65" t="s">
        <v>1231</v>
      </c>
      <c r="K52" s="60" t="s">
        <v>18</v>
      </c>
      <c r="L52" s="64">
        <v>45931</v>
      </c>
      <c r="M52" s="73"/>
      <c r="N52" s="73"/>
      <c r="Q52" s="73"/>
      <c r="R52" s="73"/>
      <c r="S52" s="73"/>
      <c r="T52" s="73"/>
      <c r="U52" s="73"/>
      <c r="V52" s="73"/>
    </row>
    <row r="53" spans="1:22" s="60" customFormat="1" ht="17" x14ac:dyDescent="0.2">
      <c r="A53" s="60" t="s">
        <v>1176</v>
      </c>
      <c r="B53" s="60" t="s">
        <v>1214</v>
      </c>
      <c r="C53" s="60" t="s">
        <v>1218</v>
      </c>
      <c r="E53" s="63">
        <v>4200</v>
      </c>
      <c r="G53" s="71">
        <f>Resources[[#This Row],[Identified Investment (US$m)]]+Resources[[#This Row],[Estimated Investment (US$m)]]</f>
        <v>4200</v>
      </c>
      <c r="H53" s="60" t="s">
        <v>1232</v>
      </c>
      <c r="I53" s="60" t="s">
        <v>31</v>
      </c>
      <c r="J53" s="65" t="s">
        <v>1233</v>
      </c>
      <c r="K53" s="60" t="s">
        <v>20</v>
      </c>
      <c r="L53" s="64">
        <v>45474</v>
      </c>
      <c r="M53" s="73"/>
      <c r="N53" s="73"/>
      <c r="Q53" s="73"/>
      <c r="R53" s="73"/>
      <c r="S53" s="73"/>
      <c r="T53" s="73"/>
      <c r="U53" s="73"/>
      <c r="V53" s="73"/>
    </row>
    <row r="54" spans="1:22" s="60" customFormat="1" ht="17" x14ac:dyDescent="0.2">
      <c r="A54" s="60" t="s">
        <v>1176</v>
      </c>
      <c r="B54" s="60" t="s">
        <v>1214</v>
      </c>
      <c r="C54" s="60" t="s">
        <v>1234</v>
      </c>
      <c r="E54" s="63">
        <v>1500</v>
      </c>
      <c r="G54" s="71">
        <f>Resources[[#This Row],[Identified Investment (US$m)]]+Resources[[#This Row],[Estimated Investment (US$m)]]</f>
        <v>1500</v>
      </c>
      <c r="H54" s="60" t="s">
        <v>82</v>
      </c>
      <c r="I54" s="60" t="s">
        <v>31</v>
      </c>
      <c r="J54" s="65" t="s">
        <v>1235</v>
      </c>
      <c r="K54" s="60" t="s">
        <v>18</v>
      </c>
      <c r="L54" s="64">
        <v>45444</v>
      </c>
      <c r="M54" s="73"/>
      <c r="N54" s="73"/>
      <c r="Q54" s="73"/>
      <c r="R54" s="73"/>
      <c r="S54" s="73"/>
      <c r="T54" s="73"/>
      <c r="U54" s="73"/>
      <c r="V54" s="73"/>
    </row>
    <row r="55" spans="1:22" s="60" customFormat="1" ht="17" x14ac:dyDescent="0.2">
      <c r="A55" s="60" t="s">
        <v>1176</v>
      </c>
      <c r="B55" s="60" t="s">
        <v>1214</v>
      </c>
      <c r="C55" s="60" t="s">
        <v>1161</v>
      </c>
      <c r="E55" s="63">
        <v>3800</v>
      </c>
      <c r="G55" s="71">
        <f>Resources[[#This Row],[Identified Investment (US$m)]]+Resources[[#This Row],[Estimated Investment (US$m)]]</f>
        <v>3800</v>
      </c>
      <c r="H55" s="60" t="s">
        <v>73</v>
      </c>
      <c r="I55" s="60" t="s">
        <v>30</v>
      </c>
      <c r="J55" s="60" t="s">
        <v>1236</v>
      </c>
      <c r="K55" s="60" t="s">
        <v>18</v>
      </c>
      <c r="L55" s="64">
        <v>45170</v>
      </c>
      <c r="M55" s="73"/>
      <c r="N55" s="73"/>
      <c r="Q55" s="73"/>
      <c r="R55" s="73"/>
      <c r="S55" s="73"/>
      <c r="T55" s="73"/>
      <c r="U55" s="73"/>
      <c r="V55" s="73"/>
    </row>
    <row r="56" spans="1:22" s="60" customFormat="1" ht="17" x14ac:dyDescent="0.2">
      <c r="A56" s="60" t="s">
        <v>1176</v>
      </c>
      <c r="B56" s="60" t="s">
        <v>1237</v>
      </c>
      <c r="C56" s="60" t="s">
        <v>414</v>
      </c>
      <c r="E56" s="63">
        <v>420</v>
      </c>
      <c r="G56" s="71">
        <f>Resources[[#This Row],[Identified Investment (US$m)]]+Resources[[#This Row],[Estimated Investment (US$m)]]</f>
        <v>420</v>
      </c>
      <c r="H56" s="60" t="s">
        <v>249</v>
      </c>
      <c r="I56" s="60" t="s">
        <v>844</v>
      </c>
      <c r="J56" s="60" t="s">
        <v>1238</v>
      </c>
      <c r="K56" s="60" t="s">
        <v>18</v>
      </c>
      <c r="L56" s="64">
        <v>45292</v>
      </c>
      <c r="M56" s="73"/>
      <c r="N56" s="73"/>
      <c r="Q56" s="73"/>
      <c r="R56" s="73"/>
      <c r="S56" s="73"/>
      <c r="T56" s="73"/>
      <c r="U56" s="73"/>
      <c r="V56" s="73"/>
    </row>
    <row r="57" spans="1:22" s="60" customFormat="1" ht="17" x14ac:dyDescent="0.2">
      <c r="A57" s="60" t="s">
        <v>1176</v>
      </c>
      <c r="B57" s="60" t="s">
        <v>1237</v>
      </c>
      <c r="C57" s="60" t="s">
        <v>414</v>
      </c>
      <c r="E57" s="63">
        <v>6000</v>
      </c>
      <c r="G57" s="71">
        <f>Resources[[#This Row],[Identified Investment (US$m)]]+Resources[[#This Row],[Estimated Investment (US$m)]]</f>
        <v>6000</v>
      </c>
      <c r="H57" s="60" t="s">
        <v>249</v>
      </c>
      <c r="I57" s="60" t="s">
        <v>844</v>
      </c>
      <c r="J57" s="60" t="s">
        <v>1239</v>
      </c>
      <c r="K57" s="60" t="s">
        <v>18</v>
      </c>
      <c r="L57" s="64">
        <v>45809</v>
      </c>
      <c r="M57" s="73"/>
      <c r="N57" s="73"/>
      <c r="Q57" s="73"/>
      <c r="R57" s="73"/>
      <c r="S57" s="73"/>
      <c r="T57" s="73"/>
      <c r="U57" s="73"/>
      <c r="V57" s="73"/>
    </row>
    <row r="58" spans="1:22" s="60" customFormat="1" ht="34" customHeight="1" x14ac:dyDescent="0.2">
      <c r="A58" s="60" t="s">
        <v>1176</v>
      </c>
      <c r="B58" s="60" t="s">
        <v>1237</v>
      </c>
      <c r="C58" s="60" t="s">
        <v>1240</v>
      </c>
      <c r="E58" s="63">
        <v>10000</v>
      </c>
      <c r="G58" s="71">
        <f>Resources[[#This Row],[Identified Investment (US$m)]]+Resources[[#This Row],[Estimated Investment (US$m)]]</f>
        <v>10000</v>
      </c>
      <c r="H58" s="60" t="s">
        <v>249</v>
      </c>
      <c r="I58" s="60" t="s">
        <v>844</v>
      </c>
      <c r="J58" s="65" t="s">
        <v>1241</v>
      </c>
      <c r="K58" s="60" t="s">
        <v>18</v>
      </c>
      <c r="L58" s="64">
        <v>45566</v>
      </c>
      <c r="M58" s="73"/>
      <c r="N58" s="73"/>
      <c r="Q58" s="73"/>
      <c r="R58" s="73"/>
      <c r="S58" s="73"/>
      <c r="T58" s="73"/>
      <c r="U58" s="73"/>
      <c r="V58" s="73"/>
    </row>
    <row r="59" spans="1:22" s="60" customFormat="1" ht="17" x14ac:dyDescent="0.2">
      <c r="A59" s="60" t="s">
        <v>1176</v>
      </c>
      <c r="B59" s="60" t="s">
        <v>1237</v>
      </c>
      <c r="C59" s="60" t="s">
        <v>1240</v>
      </c>
      <c r="E59" s="63">
        <v>790</v>
      </c>
      <c r="G59" s="71">
        <f>Resources[[#This Row],[Identified Investment (US$m)]]+Resources[[#This Row],[Estimated Investment (US$m)]]</f>
        <v>790</v>
      </c>
      <c r="H59" s="60" t="s">
        <v>249</v>
      </c>
      <c r="I59" s="60" t="s">
        <v>844</v>
      </c>
      <c r="J59" s="60" t="s">
        <v>1242</v>
      </c>
      <c r="K59" s="60" t="s">
        <v>18</v>
      </c>
      <c r="L59" s="64">
        <v>45748</v>
      </c>
      <c r="M59" s="73"/>
      <c r="N59" s="73"/>
      <c r="Q59" s="73"/>
      <c r="R59" s="73"/>
      <c r="S59" s="73"/>
      <c r="T59" s="73"/>
      <c r="U59" s="73"/>
      <c r="V59" s="73"/>
    </row>
    <row r="60" spans="1:22" s="60" customFormat="1" ht="34" x14ac:dyDescent="0.2">
      <c r="A60" s="60" t="s">
        <v>1176</v>
      </c>
      <c r="B60" s="60" t="s">
        <v>1237</v>
      </c>
      <c r="C60" s="60" t="s">
        <v>432</v>
      </c>
      <c r="E60" s="63">
        <v>8450</v>
      </c>
      <c r="G60" s="71">
        <f>Resources[[#This Row],[Identified Investment (US$m)]]+Resources[[#This Row],[Estimated Investment (US$m)]]</f>
        <v>8450</v>
      </c>
      <c r="H60" s="60" t="s">
        <v>249</v>
      </c>
      <c r="I60" s="60" t="s">
        <v>844</v>
      </c>
      <c r="J60" s="65" t="s">
        <v>1243</v>
      </c>
      <c r="K60" s="60" t="s">
        <v>18</v>
      </c>
      <c r="L60" s="64">
        <v>45748</v>
      </c>
      <c r="M60" s="73"/>
      <c r="N60" s="73"/>
      <c r="Q60" s="73"/>
      <c r="R60" s="73"/>
      <c r="S60" s="73"/>
      <c r="T60" s="73"/>
      <c r="U60" s="73"/>
      <c r="V60" s="73"/>
    </row>
    <row r="61" spans="1:22" s="60" customFormat="1" ht="51" x14ac:dyDescent="0.2">
      <c r="A61" s="60" t="s">
        <v>1176</v>
      </c>
      <c r="B61" s="60" t="s">
        <v>1237</v>
      </c>
      <c r="C61" s="60" t="s">
        <v>432</v>
      </c>
      <c r="E61" s="63">
        <f>4300</f>
        <v>4300</v>
      </c>
      <c r="G61" s="71">
        <f>Resources[[#This Row],[Identified Investment (US$m)]]+Resources[[#This Row],[Estimated Investment (US$m)]]</f>
        <v>4300</v>
      </c>
      <c r="H61" s="60" t="s">
        <v>249</v>
      </c>
      <c r="I61" s="60" t="s">
        <v>844</v>
      </c>
      <c r="J61" s="65" t="s">
        <v>1254</v>
      </c>
      <c r="K61" s="60" t="s">
        <v>20</v>
      </c>
      <c r="L61" s="64">
        <v>45992</v>
      </c>
      <c r="M61" s="73"/>
      <c r="N61" s="73"/>
      <c r="Q61" s="73"/>
      <c r="R61" s="73"/>
      <c r="S61" s="73"/>
      <c r="T61" s="73"/>
      <c r="U61" s="73"/>
      <c r="V61" s="73"/>
    </row>
    <row r="62" spans="1:22" s="60" customFormat="1" ht="17" x14ac:dyDescent="0.2">
      <c r="A62" s="60" t="s">
        <v>1176</v>
      </c>
      <c r="B62" s="60" t="s">
        <v>1237</v>
      </c>
      <c r="C62" s="60" t="s">
        <v>432</v>
      </c>
      <c r="D62" s="60" t="s">
        <v>416</v>
      </c>
      <c r="E62" s="63">
        <v>8000</v>
      </c>
      <c r="G62" s="71">
        <f>Resources[[#This Row],[Identified Investment (US$m)]]+Resources[[#This Row],[Estimated Investment (US$m)]]</f>
        <v>8000</v>
      </c>
      <c r="H62" s="60" t="s">
        <v>249</v>
      </c>
      <c r="I62" s="60" t="s">
        <v>844</v>
      </c>
      <c r="J62" s="60" t="s">
        <v>1244</v>
      </c>
      <c r="K62" s="60" t="s">
        <v>18</v>
      </c>
      <c r="L62" s="64">
        <v>46023</v>
      </c>
      <c r="M62" s="73"/>
      <c r="N62" s="73"/>
      <c r="Q62" s="73"/>
      <c r="R62" s="73"/>
      <c r="S62" s="73"/>
      <c r="T62" s="73"/>
      <c r="U62" s="73"/>
      <c r="V62" s="73"/>
    </row>
    <row r="63" spans="1:22" s="60" customFormat="1" ht="17" x14ac:dyDescent="0.2">
      <c r="A63" s="60" t="s">
        <v>1176</v>
      </c>
      <c r="B63" s="60" t="s">
        <v>1237</v>
      </c>
      <c r="C63" s="60" t="s">
        <v>1245</v>
      </c>
      <c r="E63" s="63">
        <v>15</v>
      </c>
      <c r="G63" s="71">
        <f>Resources[[#This Row],[Identified Investment (US$m)]]+Resources[[#This Row],[Estimated Investment (US$m)]]</f>
        <v>15</v>
      </c>
      <c r="H63" s="60" t="s">
        <v>244</v>
      </c>
      <c r="I63" s="60" t="s">
        <v>965</v>
      </c>
      <c r="J63" s="65" t="s">
        <v>1246</v>
      </c>
      <c r="K63" s="60" t="s">
        <v>20</v>
      </c>
      <c r="L63" s="64">
        <v>45870</v>
      </c>
      <c r="M63" s="73"/>
      <c r="N63" s="73"/>
      <c r="Q63" s="73"/>
      <c r="R63" s="73"/>
      <c r="S63" s="73"/>
      <c r="T63" s="73"/>
      <c r="U63" s="73"/>
      <c r="V63" s="73"/>
    </row>
    <row r="64" spans="1:22" s="60" customFormat="1" ht="17" x14ac:dyDescent="0.2">
      <c r="A64" s="60" t="s">
        <v>1176</v>
      </c>
      <c r="B64" s="60" t="s">
        <v>1237</v>
      </c>
      <c r="C64" s="60" t="s">
        <v>1247</v>
      </c>
      <c r="E64" s="63">
        <v>500</v>
      </c>
      <c r="G64" s="71">
        <f>Resources[[#This Row],[Identified Investment (US$m)]]+Resources[[#This Row],[Estimated Investment (US$m)]]</f>
        <v>500</v>
      </c>
      <c r="H64" s="60" t="s">
        <v>75</v>
      </c>
      <c r="I64" s="60" t="s">
        <v>29</v>
      </c>
      <c r="J64" s="65" t="s">
        <v>1248</v>
      </c>
      <c r="K64" s="60" t="s">
        <v>1056</v>
      </c>
      <c r="L64" s="64">
        <v>45901</v>
      </c>
      <c r="M64" s="73"/>
      <c r="N64" s="73"/>
      <c r="Q64" s="73"/>
      <c r="R64" s="73"/>
      <c r="S64" s="73"/>
      <c r="T64" s="73"/>
      <c r="U64" s="73"/>
      <c r="V64" s="73"/>
    </row>
    <row r="65" spans="1:22" s="60" customFormat="1" ht="34" x14ac:dyDescent="0.2">
      <c r="A65" s="60" t="s">
        <v>1176</v>
      </c>
      <c r="B65" s="60" t="s">
        <v>1255</v>
      </c>
      <c r="C65" s="60" t="s">
        <v>163</v>
      </c>
      <c r="E65" s="63">
        <v>1030</v>
      </c>
      <c r="G65" s="71">
        <f>Resources[[#This Row],[Identified Investment (US$m)]]+Resources[[#This Row],[Estimated Investment (US$m)]]</f>
        <v>1030</v>
      </c>
      <c r="H65" s="60" t="s">
        <v>1179</v>
      </c>
      <c r="I65" s="60" t="s">
        <v>965</v>
      </c>
      <c r="J65" s="65" t="s">
        <v>1256</v>
      </c>
      <c r="K65" s="60" t="s">
        <v>20</v>
      </c>
      <c r="L65" s="64">
        <v>45931</v>
      </c>
      <c r="M65" s="73"/>
      <c r="N65" s="73"/>
      <c r="Q65" s="73"/>
      <c r="R65" s="73"/>
      <c r="S65" s="73"/>
      <c r="T65" s="73"/>
      <c r="U65" s="73"/>
      <c r="V65" s="73"/>
    </row>
    <row r="66" spans="1:22" s="60" customFormat="1" ht="17" x14ac:dyDescent="0.2">
      <c r="A66" s="60" t="s">
        <v>1176</v>
      </c>
      <c r="B66" s="60" t="s">
        <v>1255</v>
      </c>
      <c r="C66" s="60" t="s">
        <v>1257</v>
      </c>
      <c r="E66" s="63">
        <v>500</v>
      </c>
      <c r="G66" s="71">
        <f>Resources[[#This Row],[Identified Investment (US$m)]]+Resources[[#This Row],[Estimated Investment (US$m)]]</f>
        <v>500</v>
      </c>
      <c r="H66" s="60" t="s">
        <v>1179</v>
      </c>
      <c r="I66" s="60" t="s">
        <v>965</v>
      </c>
      <c r="J66" s="65" t="s">
        <v>1258</v>
      </c>
      <c r="K66" s="60" t="s">
        <v>21</v>
      </c>
      <c r="L66" s="64">
        <v>45962</v>
      </c>
      <c r="M66" s="73"/>
      <c r="N66" s="73"/>
      <c r="Q66" s="73"/>
      <c r="R66" s="73"/>
      <c r="S66" s="73"/>
      <c r="T66" s="73"/>
      <c r="U66" s="73"/>
      <c r="V66" s="73"/>
    </row>
    <row r="67" spans="1:22" s="60" customFormat="1" ht="17" x14ac:dyDescent="0.2">
      <c r="A67" s="60" t="s">
        <v>1176</v>
      </c>
      <c r="B67" s="60" t="s">
        <v>1255</v>
      </c>
      <c r="C67" s="60" t="s">
        <v>1257</v>
      </c>
      <c r="E67" s="63">
        <v>700</v>
      </c>
      <c r="G67" s="71">
        <f>Resources[[#This Row],[Identified Investment (US$m)]]+Resources[[#This Row],[Estimated Investment (US$m)]]</f>
        <v>700</v>
      </c>
      <c r="H67" s="60" t="s">
        <v>1179</v>
      </c>
      <c r="I67" s="60" t="s">
        <v>965</v>
      </c>
      <c r="J67" s="65" t="s">
        <v>1259</v>
      </c>
      <c r="K67" s="60" t="s">
        <v>20</v>
      </c>
      <c r="L67" s="64">
        <v>45962</v>
      </c>
      <c r="M67" s="73"/>
      <c r="N67" s="73"/>
      <c r="Q67" s="73"/>
      <c r="R67" s="73"/>
      <c r="S67" s="73"/>
      <c r="T67" s="73"/>
      <c r="U67" s="73"/>
      <c r="V67" s="73"/>
    </row>
    <row r="68" spans="1:22" s="60" customFormat="1" ht="51" x14ac:dyDescent="0.2">
      <c r="A68" s="60" t="s">
        <v>1176</v>
      </c>
      <c r="B68" s="60" t="s">
        <v>1255</v>
      </c>
      <c r="C68" s="60" t="s">
        <v>1260</v>
      </c>
      <c r="D68" s="60" t="s">
        <v>1261</v>
      </c>
      <c r="E68" s="63">
        <v>10000</v>
      </c>
      <c r="G68" s="71"/>
      <c r="H68" s="60" t="s">
        <v>136</v>
      </c>
      <c r="I68" s="60" t="s">
        <v>845</v>
      </c>
      <c r="J68" s="65" t="s">
        <v>1262</v>
      </c>
      <c r="K68" s="60" t="s">
        <v>18</v>
      </c>
      <c r="L68" s="64">
        <v>46023</v>
      </c>
      <c r="M68" s="73"/>
      <c r="N68" s="73"/>
      <c r="Q68" s="73"/>
      <c r="R68" s="73"/>
      <c r="S68" s="73"/>
      <c r="T68" s="73"/>
      <c r="U68" s="73"/>
      <c r="V68" s="73"/>
    </row>
    <row r="69" spans="1:22" s="60" customFormat="1" ht="51" x14ac:dyDescent="0.2">
      <c r="A69" s="60" t="s">
        <v>1176</v>
      </c>
      <c r="B69" s="60" t="s">
        <v>1255</v>
      </c>
      <c r="C69" s="60" t="s">
        <v>1118</v>
      </c>
      <c r="D69" s="60" t="s">
        <v>1054</v>
      </c>
      <c r="E69" s="63">
        <v>902</v>
      </c>
      <c r="G69" s="71">
        <f>Resources[[#This Row],[Identified Investment (US$m)]]+Resources[[#This Row],[Estimated Investment (US$m)]]</f>
        <v>902</v>
      </c>
      <c r="H69" s="60" t="s">
        <v>75</v>
      </c>
      <c r="I69" s="60" t="s">
        <v>29</v>
      </c>
      <c r="J69" s="65" t="s">
        <v>1263</v>
      </c>
      <c r="K69" s="60" t="s">
        <v>1056</v>
      </c>
      <c r="L69" s="64">
        <v>46023</v>
      </c>
      <c r="M69" s="73"/>
      <c r="N69" s="73"/>
      <c r="Q69" s="73"/>
      <c r="R69" s="73"/>
      <c r="S69" s="73"/>
      <c r="T69" s="73"/>
      <c r="U69" s="73"/>
      <c r="V69" s="73"/>
    </row>
    <row r="70" spans="1:22" s="60" customFormat="1" ht="68" x14ac:dyDescent="0.2">
      <c r="A70" s="60" t="s">
        <v>1176</v>
      </c>
      <c r="B70" s="60" t="s">
        <v>1255</v>
      </c>
      <c r="C70" s="74" t="s">
        <v>1264</v>
      </c>
      <c r="D70" s="74" t="s">
        <v>1273</v>
      </c>
      <c r="F70" s="63">
        <v>2000</v>
      </c>
      <c r="G70" s="75">
        <f>Resources[[#This Row],[Identified Investment (US$m)]]+Resources[[#This Row],[Estimated Investment (US$m)]]</f>
        <v>2000</v>
      </c>
      <c r="H70" s="60" t="s">
        <v>249</v>
      </c>
      <c r="I70" s="60" t="s">
        <v>844</v>
      </c>
      <c r="J70" s="65" t="s">
        <v>1268</v>
      </c>
      <c r="K70" s="72" t="s">
        <v>20</v>
      </c>
      <c r="L70" s="64">
        <v>45992</v>
      </c>
      <c r="N70" s="73" t="s">
        <v>1271</v>
      </c>
      <c r="O70" s="73"/>
      <c r="R70" s="73"/>
      <c r="S70" s="73"/>
      <c r="T70" s="73"/>
      <c r="U70" s="73"/>
      <c r="V70" s="73"/>
    </row>
    <row r="71" spans="1:22" s="60" customFormat="1" ht="51" x14ac:dyDescent="0.2">
      <c r="A71" s="60" t="s">
        <v>1176</v>
      </c>
      <c r="B71" s="60" t="s">
        <v>1255</v>
      </c>
      <c r="C71" s="77" t="s">
        <v>1278</v>
      </c>
      <c r="D71" s="74" t="s">
        <v>1266</v>
      </c>
      <c r="F71" s="63">
        <f>600000*2800/1000000</f>
        <v>1680</v>
      </c>
      <c r="G71" s="75">
        <f>Resources[[#This Row],[Identified Investment (US$m)]]+Resources[[#This Row],[Estimated Investment (US$m)]]</f>
        <v>1680</v>
      </c>
      <c r="H71" s="60" t="s">
        <v>249</v>
      </c>
      <c r="I71" s="60" t="s">
        <v>844</v>
      </c>
      <c r="J71" s="78" t="s">
        <v>1274</v>
      </c>
      <c r="K71" s="60" t="s">
        <v>21</v>
      </c>
      <c r="L71" s="64">
        <v>45992</v>
      </c>
      <c r="N71" s="73" t="s">
        <v>1271</v>
      </c>
      <c r="O71" s="76" t="s">
        <v>1275</v>
      </c>
      <c r="R71" s="73"/>
      <c r="S71" s="73"/>
      <c r="T71" s="73"/>
      <c r="U71" s="73"/>
      <c r="V71" s="73"/>
    </row>
    <row r="72" spans="1:22" s="60" customFormat="1" ht="34" x14ac:dyDescent="0.2">
      <c r="A72" s="60" t="s">
        <v>1176</v>
      </c>
      <c r="B72" s="60" t="s">
        <v>1255</v>
      </c>
      <c r="C72" s="77" t="s">
        <v>1276</v>
      </c>
      <c r="D72" s="74" t="s">
        <v>1266</v>
      </c>
      <c r="F72" s="63">
        <v>2000</v>
      </c>
      <c r="G72" s="75">
        <f>Resources[[#This Row],[Identified Investment (US$m)]]+Resources[[#This Row],[Estimated Investment (US$m)]]</f>
        <v>2000</v>
      </c>
      <c r="H72" s="60" t="s">
        <v>249</v>
      </c>
      <c r="I72" s="60" t="s">
        <v>844</v>
      </c>
      <c r="J72" s="65" t="s">
        <v>1277</v>
      </c>
      <c r="K72" s="72" t="s">
        <v>20</v>
      </c>
      <c r="L72" s="64">
        <v>45992</v>
      </c>
      <c r="N72" s="73" t="s">
        <v>1271</v>
      </c>
      <c r="O72" s="76" t="s">
        <v>1318</v>
      </c>
      <c r="R72" s="73"/>
      <c r="S72" s="73"/>
      <c r="T72" s="73"/>
      <c r="U72" s="73"/>
      <c r="V72" s="73"/>
    </row>
    <row r="73" spans="1:22" s="60" customFormat="1" ht="68" x14ac:dyDescent="0.2">
      <c r="A73" s="60" t="s">
        <v>1176</v>
      </c>
      <c r="B73" s="60" t="s">
        <v>1255</v>
      </c>
      <c r="C73" s="77" t="s">
        <v>1267</v>
      </c>
      <c r="F73" s="63">
        <v>6000</v>
      </c>
      <c r="G73" s="75">
        <f>Resources[[#This Row],[Identified Investment (US$m)]]+Resources[[#This Row],[Estimated Investment (US$m)]]</f>
        <v>6000</v>
      </c>
      <c r="H73" s="60" t="s">
        <v>249</v>
      </c>
      <c r="I73" s="60" t="s">
        <v>844</v>
      </c>
      <c r="J73" s="78" t="s">
        <v>1269</v>
      </c>
      <c r="K73" s="72" t="s">
        <v>20</v>
      </c>
      <c r="L73" s="64">
        <v>45992</v>
      </c>
      <c r="N73" s="79" t="s">
        <v>1271</v>
      </c>
      <c r="O73" s="73" t="s">
        <v>1272</v>
      </c>
      <c r="R73" s="73"/>
      <c r="S73" s="73"/>
      <c r="T73" s="73"/>
      <c r="U73" s="73"/>
      <c r="V73" s="73"/>
    </row>
    <row r="74" spans="1:22" s="60" customFormat="1" ht="17" x14ac:dyDescent="0.2">
      <c r="A74" s="60" t="s">
        <v>1176</v>
      </c>
      <c r="B74" s="60" t="s">
        <v>1255</v>
      </c>
      <c r="C74" s="74" t="s">
        <v>1265</v>
      </c>
      <c r="E74" s="63">
        <v>15000</v>
      </c>
      <c r="G74" s="71">
        <f>Resources[[#This Row],[Identified Investment (US$m)]]+Resources[[#This Row],[Estimated Investment (US$m)]]</f>
        <v>15000</v>
      </c>
      <c r="H74" s="60" t="s">
        <v>82</v>
      </c>
      <c r="I74" s="60" t="s">
        <v>31</v>
      </c>
      <c r="J74" s="74" t="s">
        <v>1270</v>
      </c>
      <c r="K74" s="72" t="s">
        <v>963</v>
      </c>
      <c r="L74" s="64">
        <v>46023</v>
      </c>
      <c r="M74" s="73"/>
    </row>
    <row r="75" spans="1:22" s="60" customFormat="1" x14ac:dyDescent="0.2">
      <c r="E75" s="63"/>
      <c r="G75" s="71"/>
      <c r="J75" s="65"/>
      <c r="L75" s="64"/>
    </row>
    <row r="76" spans="1:22" s="60" customFormat="1" x14ac:dyDescent="0.2">
      <c r="E76" s="63"/>
      <c r="G76" s="71"/>
      <c r="J76" s="65"/>
      <c r="L76" s="64"/>
    </row>
    <row r="77" spans="1:22" s="60" customFormat="1" ht="17" x14ac:dyDescent="0.2">
      <c r="A77" s="70" t="s">
        <v>910</v>
      </c>
      <c r="B77" s="70"/>
      <c r="C77" s="70"/>
      <c r="D77" s="70"/>
      <c r="E77" s="63" t="s">
        <v>910</v>
      </c>
      <c r="G77" s="63">
        <f>SUBTOTAL(109,Resources[Total Investment (US$m)])</f>
        <v>138477.95000000001</v>
      </c>
      <c r="M77" s="73"/>
    </row>
    <row r="78" spans="1:22" ht="18" thickBot="1" x14ac:dyDescent="0.25">
      <c r="E78" s="63" t="s">
        <v>1279</v>
      </c>
      <c r="G78" s="80">
        <f>-G74</f>
        <v>-15000</v>
      </c>
    </row>
    <row r="79" spans="1:22" ht="18" thickBot="1" x14ac:dyDescent="0.25">
      <c r="E79" s="81" t="s">
        <v>1280</v>
      </c>
      <c r="F79" s="82"/>
      <c r="G79" s="83">
        <f>Resources[[#Totals],[Total Investment (US$m)]]+G78</f>
        <v>123477.95000000001</v>
      </c>
    </row>
  </sheetData>
  <phoneticPr fontId="6" type="noConversion"/>
  <hyperlinks>
    <hyperlink ref="N9" r:id="rId1" xr:uid="{0C6B97BB-0E37-C044-9CD2-467435296591}"/>
    <hyperlink ref="O71" r:id="rId2" location=":~:text=HUAFON%20&amp;%20TSINGSHAN%20Aluminum%20Industry%20is,currently%20being%20prepared%20for%20construction." xr:uid="{6CE07F27-79D8-794B-A591-BEB012A9AEC9}"/>
    <hyperlink ref="O72" r:id="rId3" display="https://www.bloomberg.com/news/articles/2026-04-15/chinese-nickel-tycoon-taps-top-global-traders-for-aluminum-push?accessToken=eyJhbGciOiJIUzI1NiIsInR5cCI6IkpXVCJ9.eyJzb3VyY2UiOiJTdWJzY3JpYmVyR2lmdGVkQXJ0aWNsZSIsImlhdCI6MTc3NjI2NTIzOCwiZXhwIjoxNzc2ODcwMDM4LCJhcnRpY2xlSWQiOiJUREY2MEJLSzNOWUUwMCIsImJjb25uZWN0SWQiOiI2NDE3Q0MyOEI4QUI0ODU5QjkyRjU0RURBQ0EzN0EwOCJ9.rYBHP7C8SGzJGVol8Hjj4S9on7Uj-9lYsPCV88CZ63U" xr:uid="{3D84490E-1209-654E-8F34-CE8375459C4A}"/>
    <hyperlink ref="P27" r:id="rId4" xr:uid="{0E949814-BCD1-B048-A694-193EA35D9FC3}"/>
    <hyperlink ref="N28" r:id="rId5" xr:uid="{DDAE5C5A-8A00-A748-9BEC-401AE0DA63BB}"/>
    <hyperlink ref="N33" r:id="rId6" location=":~:text=Iron%20Ore-,Vale%20and%20Jinnan%20Steel%20&amp;%20Iron%20Group%20annouce%20investment%20in%20iron,briquettes%2C%20with%20reduced%20environmental%20impact." display="https://vale.com/w/vale-and-jinnan-steel-and-iron-group-annouce-investment-in-iron-ore-concentration-plant-in-oman#:~:text=Iron%20Ore-,Vale%20and%20Jinnan%20Steel%20&amp;%20Iron%20Group%20annouce%20investment%20in%20iron,briquettes%2C%20with%20reduced%20environmental%20impact." xr:uid="{250FB9CA-8041-F441-8718-FAD444066732}"/>
  </hyperlinks>
  <pageMargins left="0.7" right="0.7" top="0.75" bottom="0.75" header="0.3" footer="0.3"/>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8E51-EF58-FF44-ABB2-D52EA7A0D2CC}">
  <sheetPr>
    <tabColor theme="3" tint="0.89999084444715716"/>
  </sheetPr>
  <dimension ref="A3:R13"/>
  <sheetViews>
    <sheetView topLeftCell="A8" workbookViewId="0"/>
  </sheetViews>
  <sheetFormatPr baseColWidth="10" defaultRowHeight="16" x14ac:dyDescent="0.2"/>
  <cols>
    <col min="1" max="1" width="30.83203125" bestFit="1" customWidth="1"/>
    <col min="2" max="2" width="21.6640625" bestFit="1" customWidth="1"/>
    <col min="3" max="3" width="30.83203125" bestFit="1" customWidth="1"/>
    <col min="4" max="4" width="17.33203125" bestFit="1" customWidth="1"/>
    <col min="5" max="5" width="7.1640625" bestFit="1" customWidth="1"/>
    <col min="6" max="6" width="16" bestFit="1" customWidth="1"/>
    <col min="7" max="7" width="17.6640625" bestFit="1" customWidth="1"/>
    <col min="8" max="9" width="20.1640625" bestFit="1" customWidth="1"/>
    <col min="10" max="10" width="20" bestFit="1" customWidth="1"/>
    <col min="11" max="12" width="8.1640625" bestFit="1" customWidth="1"/>
    <col min="13" max="13" width="11" bestFit="1" customWidth="1"/>
    <col min="14" max="14" width="19.83203125" bestFit="1" customWidth="1"/>
    <col min="15" max="15" width="16.5" bestFit="1" customWidth="1"/>
    <col min="16" max="16" width="10.83203125" bestFit="1" customWidth="1"/>
    <col min="17" max="17" width="19.6640625" bestFit="1" customWidth="1"/>
    <col min="18" max="19" width="11.83203125" bestFit="1" customWidth="1"/>
  </cols>
  <sheetData>
    <row r="3" spans="1:18" x14ac:dyDescent="0.2">
      <c r="A3" s="16" t="s">
        <v>913</v>
      </c>
      <c r="B3" s="16" t="s">
        <v>914</v>
      </c>
    </row>
    <row r="4" spans="1:18" x14ac:dyDescent="0.2">
      <c r="A4" s="16" t="s">
        <v>911</v>
      </c>
      <c r="B4" t="s">
        <v>10</v>
      </c>
      <c r="C4" t="s">
        <v>11</v>
      </c>
      <c r="D4" t="s">
        <v>12</v>
      </c>
      <c r="E4" t="s">
        <v>13</v>
      </c>
      <c r="F4" t="s">
        <v>15</v>
      </c>
      <c r="G4" t="s">
        <v>9</v>
      </c>
      <c r="H4" t="s">
        <v>5</v>
      </c>
      <c r="I4" t="s">
        <v>6</v>
      </c>
      <c r="J4" t="s">
        <v>2</v>
      </c>
      <c r="K4" t="s">
        <v>8</v>
      </c>
      <c r="L4" t="s">
        <v>16</v>
      </c>
      <c r="M4" t="s">
        <v>4</v>
      </c>
      <c r="N4" t="s">
        <v>7</v>
      </c>
      <c r="O4" t="s">
        <v>14</v>
      </c>
      <c r="P4" t="s">
        <v>1</v>
      </c>
      <c r="Q4" t="s">
        <v>3</v>
      </c>
      <c r="R4" t="s">
        <v>912</v>
      </c>
    </row>
    <row r="5" spans="1:18" x14ac:dyDescent="0.2">
      <c r="A5" s="8" t="s">
        <v>844</v>
      </c>
      <c r="B5" s="34">
        <v>11207</v>
      </c>
      <c r="C5" s="34">
        <v>23997</v>
      </c>
      <c r="D5" s="34">
        <v>108</v>
      </c>
      <c r="E5" s="34"/>
      <c r="F5" s="34"/>
      <c r="G5" s="34">
        <v>1525</v>
      </c>
      <c r="H5" s="34">
        <v>1000</v>
      </c>
      <c r="I5" s="34"/>
      <c r="J5" s="34"/>
      <c r="K5" s="34">
        <v>3792</v>
      </c>
      <c r="L5" s="34">
        <v>2780</v>
      </c>
      <c r="M5" s="34">
        <v>2760</v>
      </c>
      <c r="N5" s="34">
        <v>9170</v>
      </c>
      <c r="O5" s="34">
        <v>459</v>
      </c>
      <c r="P5" s="34">
        <v>2247.5</v>
      </c>
      <c r="Q5" s="34">
        <v>164.38413361169103</v>
      </c>
      <c r="R5" s="34">
        <v>59209.884133611689</v>
      </c>
    </row>
    <row r="6" spans="1:18" x14ac:dyDescent="0.2">
      <c r="A6" s="8" t="s">
        <v>30</v>
      </c>
      <c r="B6" s="34">
        <v>25479</v>
      </c>
      <c r="C6" s="34">
        <v>6094</v>
      </c>
      <c r="D6" s="34"/>
      <c r="E6" s="34">
        <v>1595</v>
      </c>
      <c r="F6" s="34"/>
      <c r="G6" s="34"/>
      <c r="H6" s="34"/>
      <c r="I6" s="34"/>
      <c r="J6" s="34"/>
      <c r="K6" s="34"/>
      <c r="L6" s="34">
        <v>7796.54</v>
      </c>
      <c r="M6" s="34">
        <v>1072.26</v>
      </c>
      <c r="N6" s="34">
        <v>1686.5</v>
      </c>
      <c r="O6" s="34"/>
      <c r="P6" s="34">
        <v>7710</v>
      </c>
      <c r="Q6" s="34">
        <v>2055</v>
      </c>
      <c r="R6" s="34">
        <v>53488.3</v>
      </c>
    </row>
    <row r="7" spans="1:18" x14ac:dyDescent="0.2">
      <c r="A7" s="8" t="s">
        <v>965</v>
      </c>
      <c r="B7" s="34">
        <v>6700</v>
      </c>
      <c r="C7" s="34">
        <v>4046.6</v>
      </c>
      <c r="D7" s="34"/>
      <c r="E7" s="34"/>
      <c r="F7" s="34">
        <v>5100</v>
      </c>
      <c r="G7" s="34"/>
      <c r="H7" s="34"/>
      <c r="I7" s="34">
        <v>1900</v>
      </c>
      <c r="J7" s="34"/>
      <c r="K7" s="34">
        <v>11100</v>
      </c>
      <c r="L7" s="34"/>
      <c r="M7" s="34">
        <v>1850</v>
      </c>
      <c r="N7" s="34">
        <v>1900</v>
      </c>
      <c r="O7" s="34"/>
      <c r="P7" s="34">
        <v>1709</v>
      </c>
      <c r="Q7" s="34"/>
      <c r="R7" s="34">
        <v>34305.599999999999</v>
      </c>
    </row>
    <row r="8" spans="1:18" x14ac:dyDescent="0.2">
      <c r="A8" s="8" t="s">
        <v>845</v>
      </c>
      <c r="B8" s="34">
        <v>280</v>
      </c>
      <c r="C8" s="34">
        <v>1100</v>
      </c>
      <c r="D8" s="34"/>
      <c r="E8" s="34">
        <v>3000</v>
      </c>
      <c r="F8" s="34">
        <v>0</v>
      </c>
      <c r="G8" s="34"/>
      <c r="H8" s="34">
        <v>140</v>
      </c>
      <c r="I8" s="34"/>
      <c r="J8" s="34"/>
      <c r="K8" s="34"/>
      <c r="L8" s="34">
        <v>5600</v>
      </c>
      <c r="M8" s="34">
        <v>8947</v>
      </c>
      <c r="N8" s="34">
        <v>4425</v>
      </c>
      <c r="O8" s="34"/>
      <c r="P8" s="34">
        <v>206</v>
      </c>
      <c r="Q8" s="34">
        <v>1000</v>
      </c>
      <c r="R8" s="34">
        <v>24698</v>
      </c>
    </row>
    <row r="9" spans="1:18" x14ac:dyDescent="0.2">
      <c r="A9" s="8" t="s">
        <v>29</v>
      </c>
      <c r="B9" s="34"/>
      <c r="C9" s="34">
        <v>1400</v>
      </c>
      <c r="D9" s="34"/>
      <c r="E9" s="34">
        <v>1700</v>
      </c>
      <c r="F9" s="34">
        <v>1000</v>
      </c>
      <c r="G9" s="34">
        <v>11900</v>
      </c>
      <c r="H9" s="34"/>
      <c r="I9" s="34"/>
      <c r="J9" s="34"/>
      <c r="K9" s="34">
        <v>1462</v>
      </c>
      <c r="L9" s="34">
        <v>3772</v>
      </c>
      <c r="M9" s="34">
        <v>2352</v>
      </c>
      <c r="N9" s="34"/>
      <c r="O9" s="34"/>
      <c r="P9" s="34">
        <v>1035</v>
      </c>
      <c r="Q9" s="34">
        <v>18</v>
      </c>
      <c r="R9" s="34">
        <v>24639</v>
      </c>
    </row>
    <row r="10" spans="1:18" x14ac:dyDescent="0.2">
      <c r="A10" s="8" t="s">
        <v>28</v>
      </c>
      <c r="B10" s="34">
        <v>8310</v>
      </c>
      <c r="C10" s="34">
        <v>1284</v>
      </c>
      <c r="D10" s="34"/>
      <c r="E10" s="34">
        <v>833</v>
      </c>
      <c r="F10" s="34"/>
      <c r="G10" s="34"/>
      <c r="H10" s="34"/>
      <c r="I10" s="34"/>
      <c r="J10" s="34"/>
      <c r="K10" s="34"/>
      <c r="L10" s="34"/>
      <c r="M10" s="34"/>
      <c r="N10" s="34">
        <v>2560</v>
      </c>
      <c r="O10" s="34"/>
      <c r="P10" s="34"/>
      <c r="Q10" s="34"/>
      <c r="R10" s="34">
        <v>12987</v>
      </c>
    </row>
    <row r="11" spans="1:18" x14ac:dyDescent="0.2">
      <c r="A11" s="8" t="s">
        <v>31</v>
      </c>
      <c r="B11" s="34"/>
      <c r="C11" s="34"/>
      <c r="D11" s="34"/>
      <c r="E11" s="34">
        <v>1050</v>
      </c>
      <c r="F11" s="34"/>
      <c r="G11" s="34"/>
      <c r="H11" s="34">
        <v>320</v>
      </c>
      <c r="I11" s="34"/>
      <c r="J11" s="34"/>
      <c r="K11" s="34">
        <v>1950</v>
      </c>
      <c r="L11" s="34">
        <v>250</v>
      </c>
      <c r="M11" s="34">
        <v>1381</v>
      </c>
      <c r="N11" s="34"/>
      <c r="O11" s="34">
        <v>275</v>
      </c>
      <c r="P11" s="34">
        <v>3100</v>
      </c>
      <c r="Q11" s="34">
        <v>204</v>
      </c>
      <c r="R11" s="34">
        <v>8530</v>
      </c>
    </row>
    <row r="12" spans="1:18" x14ac:dyDescent="0.2">
      <c r="A12" s="8" t="s">
        <v>964</v>
      </c>
      <c r="B12" s="34"/>
      <c r="C12" s="34"/>
      <c r="D12" s="34"/>
      <c r="E12" s="34">
        <v>1129</v>
      </c>
      <c r="F12" s="34"/>
      <c r="G12" s="34"/>
      <c r="H12" s="34">
        <v>1298</v>
      </c>
      <c r="I12" s="34"/>
      <c r="J12" s="34">
        <v>2479</v>
      </c>
      <c r="K12" s="34"/>
      <c r="L12" s="34"/>
      <c r="M12" s="34"/>
      <c r="N12" s="34"/>
      <c r="O12" s="34"/>
      <c r="P12" s="34">
        <v>650</v>
      </c>
      <c r="Q12" s="34"/>
      <c r="R12" s="34">
        <v>5556</v>
      </c>
    </row>
    <row r="13" spans="1:18" x14ac:dyDescent="0.2">
      <c r="A13" s="8" t="s">
        <v>912</v>
      </c>
      <c r="B13" s="34">
        <v>51976</v>
      </c>
      <c r="C13" s="34">
        <v>37921.599999999999</v>
      </c>
      <c r="D13" s="34">
        <v>108</v>
      </c>
      <c r="E13" s="34">
        <v>9307</v>
      </c>
      <c r="F13" s="34">
        <v>6100</v>
      </c>
      <c r="G13" s="34">
        <v>13425</v>
      </c>
      <c r="H13" s="34">
        <v>2758</v>
      </c>
      <c r="I13" s="34">
        <v>1900</v>
      </c>
      <c r="J13" s="34">
        <v>2479</v>
      </c>
      <c r="K13" s="34">
        <v>18304</v>
      </c>
      <c r="L13" s="34">
        <v>20198.54</v>
      </c>
      <c r="M13" s="34">
        <v>18362.260000000002</v>
      </c>
      <c r="N13" s="34">
        <v>19741.5</v>
      </c>
      <c r="O13" s="34">
        <v>734</v>
      </c>
      <c r="P13" s="34">
        <v>16657.5</v>
      </c>
      <c r="Q13" s="34">
        <v>3441.3841336116911</v>
      </c>
      <c r="R13" s="34">
        <v>223413.78413361168</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030B2-4771-BF47-A88E-623091C99FA0}">
  <sheetPr>
    <tabColor theme="3" tint="0.89999084444715716"/>
  </sheetPr>
  <dimension ref="A3:J21"/>
  <sheetViews>
    <sheetView workbookViewId="0"/>
  </sheetViews>
  <sheetFormatPr baseColWidth="10" defaultRowHeight="16" x14ac:dyDescent="0.2"/>
  <cols>
    <col min="1" max="1" width="30.83203125" bestFit="1" customWidth="1"/>
    <col min="2" max="2" width="23.6640625" bestFit="1" customWidth="1"/>
    <col min="3" max="3" width="12.1640625" bestFit="1" customWidth="1"/>
    <col min="4" max="4" width="8.1640625" bestFit="1" customWidth="1"/>
    <col min="5" max="5" width="11.83203125" bestFit="1" customWidth="1"/>
    <col min="6" max="6" width="14.33203125" bestFit="1" customWidth="1"/>
    <col min="7" max="7" width="17.1640625" bestFit="1" customWidth="1"/>
    <col min="8" max="8" width="11.5" bestFit="1" customWidth="1"/>
    <col min="9" max="9" width="8.1640625" bestFit="1" customWidth="1"/>
    <col min="10" max="11" width="11.83203125" bestFit="1" customWidth="1"/>
    <col min="12" max="12" width="22.33203125" bestFit="1" customWidth="1"/>
    <col min="13" max="13" width="9.1640625" bestFit="1" customWidth="1"/>
    <col min="14" max="14" width="11" bestFit="1" customWidth="1"/>
    <col min="15" max="15" width="19.83203125" bestFit="1" customWidth="1"/>
    <col min="16" max="16" width="16.5" bestFit="1" customWidth="1"/>
    <col min="18" max="18" width="19.6640625" bestFit="1" customWidth="1"/>
    <col min="19" max="19" width="12.1640625" bestFit="1" customWidth="1"/>
  </cols>
  <sheetData>
    <row r="3" spans="1:10" x14ac:dyDescent="0.2">
      <c r="A3" s="16" t="s">
        <v>913</v>
      </c>
      <c r="B3" s="16" t="s">
        <v>914</v>
      </c>
    </row>
    <row r="4" spans="1:10" x14ac:dyDescent="0.2">
      <c r="A4" s="16" t="s">
        <v>911</v>
      </c>
      <c r="B4" t="s">
        <v>29</v>
      </c>
      <c r="C4" t="s">
        <v>31</v>
      </c>
      <c r="D4" t="s">
        <v>30</v>
      </c>
      <c r="E4" t="s">
        <v>845</v>
      </c>
      <c r="F4" t="s">
        <v>28</v>
      </c>
      <c r="G4" t="s">
        <v>844</v>
      </c>
      <c r="H4" t="s">
        <v>964</v>
      </c>
      <c r="I4" t="s">
        <v>965</v>
      </c>
      <c r="J4" t="s">
        <v>912</v>
      </c>
    </row>
    <row r="5" spans="1:10" x14ac:dyDescent="0.2">
      <c r="A5" s="8" t="s">
        <v>10</v>
      </c>
      <c r="B5" s="34"/>
      <c r="C5" s="34"/>
      <c r="D5" s="34">
        <v>25479</v>
      </c>
      <c r="E5" s="34">
        <v>280</v>
      </c>
      <c r="F5" s="34">
        <v>8310</v>
      </c>
      <c r="G5" s="34">
        <v>11207</v>
      </c>
      <c r="H5" s="34"/>
      <c r="I5" s="34">
        <v>6700</v>
      </c>
      <c r="J5" s="34">
        <v>51976</v>
      </c>
    </row>
    <row r="6" spans="1:10" x14ac:dyDescent="0.2">
      <c r="A6" s="8" t="s">
        <v>11</v>
      </c>
      <c r="B6" s="34">
        <v>1400</v>
      </c>
      <c r="C6" s="34"/>
      <c r="D6" s="34">
        <v>6094</v>
      </c>
      <c r="E6" s="34">
        <v>1100</v>
      </c>
      <c r="F6" s="34">
        <v>1284</v>
      </c>
      <c r="G6" s="34">
        <v>23997</v>
      </c>
      <c r="H6" s="34"/>
      <c r="I6" s="34">
        <v>4046.6</v>
      </c>
      <c r="J6" s="34">
        <v>37921.599999999999</v>
      </c>
    </row>
    <row r="7" spans="1:10" x14ac:dyDescent="0.2">
      <c r="A7" s="8" t="s">
        <v>16</v>
      </c>
      <c r="B7" s="34">
        <v>3772</v>
      </c>
      <c r="C7" s="34">
        <v>250</v>
      </c>
      <c r="D7" s="34">
        <v>7796.54</v>
      </c>
      <c r="E7" s="34">
        <v>5600</v>
      </c>
      <c r="F7" s="34"/>
      <c r="G7" s="34">
        <v>2780</v>
      </c>
      <c r="H7" s="34"/>
      <c r="I7" s="34"/>
      <c r="J7" s="34">
        <v>20198.54</v>
      </c>
    </row>
    <row r="8" spans="1:10" x14ac:dyDescent="0.2">
      <c r="A8" s="8" t="s">
        <v>7</v>
      </c>
      <c r="B8" s="34"/>
      <c r="C8" s="34"/>
      <c r="D8" s="34">
        <v>1686.5</v>
      </c>
      <c r="E8" s="34">
        <v>4425</v>
      </c>
      <c r="F8" s="34">
        <v>2560</v>
      </c>
      <c r="G8" s="34">
        <v>9170</v>
      </c>
      <c r="H8" s="34"/>
      <c r="I8" s="34">
        <v>1900</v>
      </c>
      <c r="J8" s="34">
        <v>19741.5</v>
      </c>
    </row>
    <row r="9" spans="1:10" x14ac:dyDescent="0.2">
      <c r="A9" s="8" t="s">
        <v>4</v>
      </c>
      <c r="B9" s="34">
        <v>2352</v>
      </c>
      <c r="C9" s="34">
        <v>1381</v>
      </c>
      <c r="D9" s="34">
        <v>1072.26</v>
      </c>
      <c r="E9" s="34">
        <v>8947</v>
      </c>
      <c r="F9" s="34"/>
      <c r="G9" s="34">
        <v>2760</v>
      </c>
      <c r="H9" s="34"/>
      <c r="I9" s="34">
        <v>1850</v>
      </c>
      <c r="J9" s="34">
        <v>18362.260000000002</v>
      </c>
    </row>
    <row r="10" spans="1:10" x14ac:dyDescent="0.2">
      <c r="A10" s="8" t="s">
        <v>8</v>
      </c>
      <c r="B10" s="34">
        <v>1462</v>
      </c>
      <c r="C10" s="34">
        <v>1950</v>
      </c>
      <c r="D10" s="34"/>
      <c r="E10" s="34"/>
      <c r="F10" s="34"/>
      <c r="G10" s="34">
        <v>3792</v>
      </c>
      <c r="H10" s="34"/>
      <c r="I10" s="34">
        <v>11100</v>
      </c>
      <c r="J10" s="34">
        <v>18304</v>
      </c>
    </row>
    <row r="11" spans="1:10" x14ac:dyDescent="0.2">
      <c r="A11" s="8" t="s">
        <v>1</v>
      </c>
      <c r="B11" s="34">
        <v>1035</v>
      </c>
      <c r="C11" s="34">
        <v>3100</v>
      </c>
      <c r="D11" s="34">
        <v>7710</v>
      </c>
      <c r="E11" s="34">
        <v>206</v>
      </c>
      <c r="F11" s="34"/>
      <c r="G11" s="34">
        <v>2247.5</v>
      </c>
      <c r="H11" s="34">
        <v>650</v>
      </c>
      <c r="I11" s="34">
        <v>1709</v>
      </c>
      <c r="J11" s="34">
        <v>16657.5</v>
      </c>
    </row>
    <row r="12" spans="1:10" x14ac:dyDescent="0.2">
      <c r="A12" s="8" t="s">
        <v>9</v>
      </c>
      <c r="B12" s="34">
        <v>11900</v>
      </c>
      <c r="C12" s="34"/>
      <c r="D12" s="34"/>
      <c r="E12" s="34"/>
      <c r="F12" s="34"/>
      <c r="G12" s="34">
        <v>1525</v>
      </c>
      <c r="H12" s="34"/>
      <c r="I12" s="34"/>
      <c r="J12" s="34">
        <v>13425</v>
      </c>
    </row>
    <row r="13" spans="1:10" x14ac:dyDescent="0.2">
      <c r="A13" s="8" t="s">
        <v>13</v>
      </c>
      <c r="B13" s="34">
        <v>1700</v>
      </c>
      <c r="C13" s="34">
        <v>1050</v>
      </c>
      <c r="D13" s="34">
        <v>1595</v>
      </c>
      <c r="E13" s="34">
        <v>3000</v>
      </c>
      <c r="F13" s="34">
        <v>833</v>
      </c>
      <c r="G13" s="34"/>
      <c r="H13" s="34">
        <v>1129</v>
      </c>
      <c r="I13" s="34"/>
      <c r="J13" s="34">
        <v>9307</v>
      </c>
    </row>
    <row r="14" spans="1:10" x14ac:dyDescent="0.2">
      <c r="A14" s="8" t="s">
        <v>15</v>
      </c>
      <c r="B14" s="34">
        <v>1000</v>
      </c>
      <c r="C14" s="34"/>
      <c r="D14" s="34"/>
      <c r="E14" s="34">
        <v>0</v>
      </c>
      <c r="F14" s="34"/>
      <c r="G14" s="34"/>
      <c r="H14" s="34"/>
      <c r="I14" s="34">
        <v>5100</v>
      </c>
      <c r="J14" s="34">
        <v>6100</v>
      </c>
    </row>
    <row r="15" spans="1:10" x14ac:dyDescent="0.2">
      <c r="A15" s="8" t="s">
        <v>3</v>
      </c>
      <c r="B15" s="34">
        <v>18</v>
      </c>
      <c r="C15" s="34">
        <v>204</v>
      </c>
      <c r="D15" s="34">
        <v>2055</v>
      </c>
      <c r="E15" s="34">
        <v>1000</v>
      </c>
      <c r="F15" s="34"/>
      <c r="G15" s="34">
        <v>164.38413361169103</v>
      </c>
      <c r="H15" s="34"/>
      <c r="I15" s="34"/>
      <c r="J15" s="34">
        <v>3441.3841336116911</v>
      </c>
    </row>
    <row r="16" spans="1:10" x14ac:dyDescent="0.2">
      <c r="A16" s="8" t="s">
        <v>5</v>
      </c>
      <c r="B16" s="34"/>
      <c r="C16" s="34">
        <v>320</v>
      </c>
      <c r="D16" s="34"/>
      <c r="E16" s="34">
        <v>140</v>
      </c>
      <c r="F16" s="34"/>
      <c r="G16" s="34">
        <v>1000</v>
      </c>
      <c r="H16" s="34">
        <v>1298</v>
      </c>
      <c r="I16" s="34"/>
      <c r="J16" s="34">
        <v>2758</v>
      </c>
    </row>
    <row r="17" spans="1:10" x14ac:dyDescent="0.2">
      <c r="A17" s="8" t="s">
        <v>2</v>
      </c>
      <c r="B17" s="34"/>
      <c r="C17" s="34"/>
      <c r="D17" s="34"/>
      <c r="E17" s="34"/>
      <c r="F17" s="34"/>
      <c r="G17" s="34"/>
      <c r="H17" s="34">
        <v>2479</v>
      </c>
      <c r="I17" s="34"/>
      <c r="J17" s="34">
        <v>2479</v>
      </c>
    </row>
    <row r="18" spans="1:10" x14ac:dyDescent="0.2">
      <c r="A18" s="8" t="s">
        <v>6</v>
      </c>
      <c r="B18" s="34"/>
      <c r="C18" s="34"/>
      <c r="D18" s="34"/>
      <c r="E18" s="34"/>
      <c r="F18" s="34"/>
      <c r="G18" s="34"/>
      <c r="H18" s="34"/>
      <c r="I18" s="34">
        <v>1900</v>
      </c>
      <c r="J18" s="34">
        <v>1900</v>
      </c>
    </row>
    <row r="19" spans="1:10" x14ac:dyDescent="0.2">
      <c r="A19" s="8" t="s">
        <v>14</v>
      </c>
      <c r="B19" s="34"/>
      <c r="C19" s="34">
        <v>275</v>
      </c>
      <c r="D19" s="34"/>
      <c r="E19" s="34"/>
      <c r="F19" s="34"/>
      <c r="G19" s="34">
        <v>459</v>
      </c>
      <c r="H19" s="34"/>
      <c r="I19" s="34"/>
      <c r="J19" s="34">
        <v>734</v>
      </c>
    </row>
    <row r="20" spans="1:10" x14ac:dyDescent="0.2">
      <c r="A20" s="8" t="s">
        <v>12</v>
      </c>
      <c r="B20" s="34"/>
      <c r="C20" s="34"/>
      <c r="D20" s="34"/>
      <c r="E20" s="34"/>
      <c r="F20" s="34"/>
      <c r="G20" s="34">
        <v>108</v>
      </c>
      <c r="H20" s="34"/>
      <c r="I20" s="34"/>
      <c r="J20" s="34">
        <v>108</v>
      </c>
    </row>
    <row r="21" spans="1:10" x14ac:dyDescent="0.2">
      <c r="A21" s="8" t="s">
        <v>912</v>
      </c>
      <c r="B21" s="34">
        <v>24639</v>
      </c>
      <c r="C21" s="34">
        <v>8530</v>
      </c>
      <c r="D21" s="34">
        <v>53488.3</v>
      </c>
      <c r="E21" s="34">
        <v>24698</v>
      </c>
      <c r="F21" s="34">
        <v>12987</v>
      </c>
      <c r="G21" s="34">
        <v>59209.884133611689</v>
      </c>
      <c r="H21" s="34">
        <v>5556</v>
      </c>
      <c r="I21" s="34">
        <v>34305.599999999999</v>
      </c>
      <c r="J21" s="34">
        <v>223413.78413361171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1D48-4FF5-0746-891C-E854B06CEFC7}">
  <sheetPr>
    <tabColor theme="3" tint="0.89999084444715716"/>
  </sheetPr>
  <dimension ref="A3:R32"/>
  <sheetViews>
    <sheetView topLeftCell="A25" zoomScaleNormal="100" workbookViewId="0"/>
  </sheetViews>
  <sheetFormatPr baseColWidth="10" defaultRowHeight="16" x14ac:dyDescent="0.2"/>
  <cols>
    <col min="1" max="1" width="30.83203125" bestFit="1" customWidth="1"/>
    <col min="2" max="2" width="21.6640625" bestFit="1" customWidth="1"/>
    <col min="3" max="3" width="30.83203125" bestFit="1" customWidth="1"/>
    <col min="4" max="4" width="17.33203125" bestFit="1" customWidth="1"/>
    <col min="5" max="5" width="5.83203125" bestFit="1" customWidth="1"/>
    <col min="6" max="6" width="16" bestFit="1" customWidth="1"/>
    <col min="7" max="7" width="17.6640625" bestFit="1" customWidth="1"/>
    <col min="8" max="9" width="20.1640625" bestFit="1" customWidth="1"/>
    <col min="10" max="10" width="20" bestFit="1" customWidth="1"/>
    <col min="11" max="11" width="6.6640625" bestFit="1" customWidth="1"/>
    <col min="12" max="12" width="9.1640625" bestFit="1" customWidth="1"/>
    <col min="13" max="13" width="11" bestFit="1" customWidth="1"/>
    <col min="14" max="14" width="19.83203125" bestFit="1" customWidth="1"/>
    <col min="15" max="15" width="16.5" bestFit="1" customWidth="1"/>
    <col min="17" max="17" width="19.6640625" bestFit="1" customWidth="1"/>
    <col min="18" max="19" width="12.1640625" bestFit="1" customWidth="1"/>
  </cols>
  <sheetData>
    <row r="3" spans="1:18" x14ac:dyDescent="0.2">
      <c r="A3" s="16" t="s">
        <v>913</v>
      </c>
      <c r="B3" s="16" t="s">
        <v>914</v>
      </c>
    </row>
    <row r="4" spans="1:18" x14ac:dyDescent="0.2">
      <c r="A4" s="16" t="s">
        <v>911</v>
      </c>
      <c r="B4" t="s">
        <v>10</v>
      </c>
      <c r="C4" t="s">
        <v>11</v>
      </c>
      <c r="D4" t="s">
        <v>12</v>
      </c>
      <c r="E4" t="s">
        <v>13</v>
      </c>
      <c r="F4" t="s">
        <v>15</v>
      </c>
      <c r="G4" t="s">
        <v>9</v>
      </c>
      <c r="H4" t="s">
        <v>5</v>
      </c>
      <c r="I4" t="s">
        <v>6</v>
      </c>
      <c r="J4" t="s">
        <v>2</v>
      </c>
      <c r="K4" t="s">
        <v>8</v>
      </c>
      <c r="L4" t="s">
        <v>16</v>
      </c>
      <c r="M4" t="s">
        <v>4</v>
      </c>
      <c r="N4" t="s">
        <v>7</v>
      </c>
      <c r="O4" t="s">
        <v>14</v>
      </c>
      <c r="P4" t="s">
        <v>1</v>
      </c>
      <c r="Q4" t="s">
        <v>3</v>
      </c>
      <c r="R4" t="s">
        <v>912</v>
      </c>
    </row>
    <row r="5" spans="1:18" x14ac:dyDescent="0.2">
      <c r="A5" s="8" t="s">
        <v>965</v>
      </c>
      <c r="B5">
        <v>6700</v>
      </c>
      <c r="C5">
        <v>4046.6</v>
      </c>
      <c r="F5">
        <v>5100</v>
      </c>
      <c r="I5">
        <v>1900</v>
      </c>
      <c r="K5">
        <v>11100</v>
      </c>
      <c r="M5">
        <v>1850</v>
      </c>
      <c r="N5">
        <v>1900</v>
      </c>
      <c r="P5">
        <v>1709</v>
      </c>
      <c r="R5">
        <v>34305.599999999999</v>
      </c>
    </row>
    <row r="6" spans="1:18" x14ac:dyDescent="0.2">
      <c r="A6" s="8" t="s">
        <v>964</v>
      </c>
      <c r="E6">
        <v>1129</v>
      </c>
      <c r="H6">
        <v>1298</v>
      </c>
      <c r="J6">
        <v>2479</v>
      </c>
      <c r="P6">
        <v>650</v>
      </c>
      <c r="R6">
        <v>5556</v>
      </c>
    </row>
    <row r="7" spans="1:18" x14ac:dyDescent="0.2">
      <c r="A7" s="8" t="s">
        <v>29</v>
      </c>
      <c r="C7">
        <v>1400</v>
      </c>
      <c r="E7">
        <v>1700</v>
      </c>
      <c r="F7">
        <v>1000</v>
      </c>
      <c r="G7">
        <v>11900</v>
      </c>
      <c r="K7">
        <v>1462</v>
      </c>
      <c r="L7">
        <v>3772</v>
      </c>
      <c r="M7">
        <v>2352</v>
      </c>
      <c r="P7">
        <v>1035</v>
      </c>
      <c r="Q7">
        <v>18</v>
      </c>
      <c r="R7">
        <v>24639</v>
      </c>
    </row>
    <row r="8" spans="1:18" x14ac:dyDescent="0.2">
      <c r="A8" s="8" t="s">
        <v>31</v>
      </c>
      <c r="E8">
        <v>1050</v>
      </c>
      <c r="H8">
        <v>320</v>
      </c>
      <c r="K8">
        <v>1950</v>
      </c>
      <c r="L8">
        <v>250</v>
      </c>
      <c r="M8">
        <v>1381</v>
      </c>
      <c r="O8">
        <v>275</v>
      </c>
      <c r="P8">
        <v>3100</v>
      </c>
      <c r="Q8">
        <v>204</v>
      </c>
      <c r="R8">
        <v>8530</v>
      </c>
    </row>
    <row r="9" spans="1:18" x14ac:dyDescent="0.2">
      <c r="A9" s="8" t="s">
        <v>30</v>
      </c>
      <c r="B9">
        <v>25479</v>
      </c>
      <c r="C9">
        <v>6094</v>
      </c>
      <c r="E9">
        <v>1595</v>
      </c>
      <c r="L9">
        <v>7796.54</v>
      </c>
      <c r="M9">
        <v>1072.26</v>
      </c>
      <c r="N9">
        <v>1686.5</v>
      </c>
      <c r="P9">
        <v>7710</v>
      </c>
      <c r="Q9">
        <v>2055</v>
      </c>
      <c r="R9">
        <v>53488.3</v>
      </c>
    </row>
    <row r="10" spans="1:18" x14ac:dyDescent="0.2">
      <c r="A10" s="8" t="s">
        <v>845</v>
      </c>
      <c r="B10">
        <v>280</v>
      </c>
      <c r="C10">
        <v>1100</v>
      </c>
      <c r="E10">
        <v>3000</v>
      </c>
      <c r="F10">
        <v>0</v>
      </c>
      <c r="H10">
        <v>140</v>
      </c>
      <c r="L10">
        <v>5600</v>
      </c>
      <c r="M10">
        <v>8947</v>
      </c>
      <c r="N10">
        <v>4425</v>
      </c>
      <c r="P10">
        <v>206</v>
      </c>
      <c r="Q10">
        <v>1000</v>
      </c>
      <c r="R10">
        <v>24698</v>
      </c>
    </row>
    <row r="11" spans="1:18" x14ac:dyDescent="0.2">
      <c r="A11" s="8" t="s">
        <v>28</v>
      </c>
      <c r="B11">
        <v>8310</v>
      </c>
      <c r="C11">
        <v>1284</v>
      </c>
      <c r="E11">
        <v>833</v>
      </c>
      <c r="N11">
        <v>2560</v>
      </c>
      <c r="R11">
        <v>12987</v>
      </c>
    </row>
    <row r="12" spans="1:18" x14ac:dyDescent="0.2">
      <c r="A12" s="8" t="s">
        <v>844</v>
      </c>
      <c r="B12">
        <v>11207</v>
      </c>
      <c r="C12">
        <v>23997</v>
      </c>
      <c r="D12">
        <v>108</v>
      </c>
      <c r="G12">
        <v>1525</v>
      </c>
      <c r="H12">
        <v>1000</v>
      </c>
      <c r="K12">
        <v>3792</v>
      </c>
      <c r="L12">
        <v>2780</v>
      </c>
      <c r="M12">
        <v>2760</v>
      </c>
      <c r="N12">
        <v>9170</v>
      </c>
      <c r="O12">
        <v>459</v>
      </c>
      <c r="P12">
        <v>2247.5</v>
      </c>
      <c r="Q12">
        <v>164.38413361169103</v>
      </c>
      <c r="R12">
        <v>59209.884133611689</v>
      </c>
    </row>
    <row r="13" spans="1:18" x14ac:dyDescent="0.2">
      <c r="A13" s="8" t="s">
        <v>1080</v>
      </c>
      <c r="E13">
        <v>0</v>
      </c>
      <c r="N13">
        <v>0</v>
      </c>
      <c r="R13">
        <v>0</v>
      </c>
    </row>
    <row r="14" spans="1:18" x14ac:dyDescent="0.2">
      <c r="A14" s="8" t="s">
        <v>912</v>
      </c>
      <c r="B14">
        <v>51976</v>
      </c>
      <c r="C14">
        <v>37921.599999999999</v>
      </c>
      <c r="D14">
        <v>108</v>
      </c>
      <c r="E14">
        <v>9307</v>
      </c>
      <c r="F14">
        <v>6100</v>
      </c>
      <c r="G14">
        <v>13425</v>
      </c>
      <c r="H14">
        <v>2758</v>
      </c>
      <c r="I14">
        <v>1900</v>
      </c>
      <c r="J14">
        <v>2479</v>
      </c>
      <c r="K14">
        <v>18304</v>
      </c>
      <c r="L14">
        <v>20198.54</v>
      </c>
      <c r="M14">
        <v>18362.260000000002</v>
      </c>
      <c r="N14">
        <v>19741.5</v>
      </c>
      <c r="O14">
        <v>734</v>
      </c>
      <c r="P14">
        <v>16657.5</v>
      </c>
      <c r="Q14">
        <v>3441.3841336116911</v>
      </c>
      <c r="R14">
        <v>223413.78413361171</v>
      </c>
    </row>
    <row r="18" spans="1:18" x14ac:dyDescent="0.2">
      <c r="A18" s="36"/>
      <c r="B18" s="36" t="str">
        <f t="shared" ref="B18:R18" si="0">B4</f>
        <v>Battery Manufacturing</v>
      </c>
      <c r="C18" s="36" t="str">
        <f t="shared" si="0"/>
        <v>Battery Materials Manufacturing</v>
      </c>
      <c r="D18" s="36" t="str">
        <f t="shared" si="0"/>
        <v>Battery Recycling</v>
      </c>
      <c r="E18" s="36" t="str">
        <f t="shared" si="0"/>
        <v>BESS</v>
      </c>
      <c r="F18" s="36" t="str">
        <f t="shared" si="0"/>
        <v>Green Hydrogen</v>
      </c>
      <c r="G18" s="36" t="str">
        <f t="shared" si="0"/>
        <v>Grid Transmission</v>
      </c>
      <c r="H18" s="36" t="str">
        <f t="shared" si="0"/>
        <v>Hybrid - Solar &amp; BESS</v>
      </c>
      <c r="I18" s="36" t="str">
        <f t="shared" si="0"/>
        <v>Hybrid - Solar &amp; Wind</v>
      </c>
      <c r="J18" s="36" t="str">
        <f t="shared" si="0"/>
        <v>Hybrid - Wind &amp; BESS</v>
      </c>
      <c r="K18" s="36" t="str">
        <f t="shared" si="0"/>
        <v>Hydro</v>
      </c>
      <c r="L18" s="36" t="str">
        <f t="shared" si="0"/>
        <v>NEVs</v>
      </c>
      <c r="M18" s="36" t="str">
        <f t="shared" si="0"/>
        <v>Solar Farm</v>
      </c>
      <c r="N18" s="36" t="str">
        <f t="shared" si="0"/>
        <v>Solar Manufacturing</v>
      </c>
      <c r="O18" s="36" t="str">
        <f t="shared" si="0"/>
        <v>Waste-to-Energy</v>
      </c>
      <c r="P18" s="36" t="str">
        <f t="shared" si="0"/>
        <v>Wind Farm</v>
      </c>
      <c r="Q18" s="36" t="str">
        <f t="shared" si="0"/>
        <v>Wind Manufacturing</v>
      </c>
      <c r="R18" s="36" t="str">
        <f t="shared" si="0"/>
        <v>Grand Total</v>
      </c>
    </row>
    <row r="19" spans="1:18" x14ac:dyDescent="0.2">
      <c r="A19" s="37" t="s">
        <v>1081</v>
      </c>
      <c r="B19" s="38"/>
      <c r="C19" s="38"/>
      <c r="D19" s="38"/>
      <c r="E19" s="38"/>
      <c r="F19" s="38"/>
      <c r="G19" s="38"/>
      <c r="H19" s="38"/>
      <c r="I19" s="38"/>
      <c r="J19" s="38"/>
      <c r="K19" s="38"/>
      <c r="L19" s="38"/>
      <c r="M19" s="38"/>
      <c r="N19" s="38"/>
      <c r="O19" s="38"/>
      <c r="P19" s="38"/>
      <c r="Q19" s="38"/>
      <c r="R19" s="38"/>
    </row>
    <row r="20" spans="1:18" x14ac:dyDescent="0.2">
      <c r="A20" s="35" t="str">
        <f>A5</f>
        <v>Africa</v>
      </c>
      <c r="B20" s="17">
        <f>B5/1000</f>
        <v>6.7</v>
      </c>
      <c r="C20" s="17">
        <f t="shared" ref="C20:R20" si="1">C5/1000</f>
        <v>4.0465999999999998</v>
      </c>
      <c r="D20" s="17">
        <f t="shared" si="1"/>
        <v>0</v>
      </c>
      <c r="E20" s="17">
        <f t="shared" si="1"/>
        <v>0</v>
      </c>
      <c r="F20" s="17">
        <f t="shared" si="1"/>
        <v>5.0999999999999996</v>
      </c>
      <c r="G20" s="17">
        <f t="shared" si="1"/>
        <v>0</v>
      </c>
      <c r="H20" s="17">
        <f t="shared" si="1"/>
        <v>0</v>
      </c>
      <c r="I20" s="17">
        <f t="shared" si="1"/>
        <v>1.9</v>
      </c>
      <c r="J20" s="17">
        <f t="shared" si="1"/>
        <v>0</v>
      </c>
      <c r="K20" s="17">
        <f t="shared" si="1"/>
        <v>11.1</v>
      </c>
      <c r="L20" s="17">
        <f t="shared" si="1"/>
        <v>0</v>
      </c>
      <c r="M20" s="17">
        <f t="shared" si="1"/>
        <v>1.85</v>
      </c>
      <c r="N20" s="17">
        <f t="shared" si="1"/>
        <v>1.9</v>
      </c>
      <c r="O20" s="17">
        <f t="shared" si="1"/>
        <v>0</v>
      </c>
      <c r="P20" s="17">
        <f t="shared" si="1"/>
        <v>1.7090000000000001</v>
      </c>
      <c r="Q20" s="17">
        <f t="shared" si="1"/>
        <v>0</v>
      </c>
      <c r="R20" s="17">
        <f t="shared" si="1"/>
        <v>34.305599999999998</v>
      </c>
    </row>
    <row r="21" spans="1:18" x14ac:dyDescent="0.2">
      <c r="A21" s="35" t="str">
        <f>A7</f>
        <v>Central &amp; South America</v>
      </c>
      <c r="B21" s="17">
        <f>B7/1000</f>
        <v>0</v>
      </c>
      <c r="C21" s="17">
        <f t="shared" ref="C21:R22" si="2">C7/1000</f>
        <v>1.4</v>
      </c>
      <c r="D21" s="17">
        <f t="shared" si="2"/>
        <v>0</v>
      </c>
      <c r="E21" s="17">
        <f t="shared" si="2"/>
        <v>1.7</v>
      </c>
      <c r="F21" s="17">
        <f t="shared" si="2"/>
        <v>1</v>
      </c>
      <c r="G21" s="17">
        <f t="shared" si="2"/>
        <v>11.9</v>
      </c>
      <c r="H21" s="17">
        <f t="shared" si="2"/>
        <v>0</v>
      </c>
      <c r="I21" s="17">
        <f t="shared" si="2"/>
        <v>0</v>
      </c>
      <c r="J21" s="17">
        <f t="shared" si="2"/>
        <v>0</v>
      </c>
      <c r="K21" s="17">
        <f t="shared" si="2"/>
        <v>1.462</v>
      </c>
      <c r="L21" s="17">
        <f t="shared" si="2"/>
        <v>3.7719999999999998</v>
      </c>
      <c r="M21" s="17">
        <f t="shared" si="2"/>
        <v>2.3519999999999999</v>
      </c>
      <c r="N21" s="17">
        <f t="shared" si="2"/>
        <v>0</v>
      </c>
      <c r="O21" s="17">
        <f t="shared" si="2"/>
        <v>0</v>
      </c>
      <c r="P21" s="17">
        <f t="shared" si="2"/>
        <v>1.0349999999999999</v>
      </c>
      <c r="Q21" s="17">
        <f t="shared" si="2"/>
        <v>1.7999999999999999E-2</v>
      </c>
      <c r="R21" s="17">
        <f t="shared" si="2"/>
        <v>24.638999999999999</v>
      </c>
    </row>
    <row r="22" spans="1:18" x14ac:dyDescent="0.2">
      <c r="A22" s="35" t="str">
        <f>A8</f>
        <v>Central Asia</v>
      </c>
      <c r="B22" s="17">
        <f>B8/1000</f>
        <v>0</v>
      </c>
      <c r="C22" s="17">
        <f t="shared" si="2"/>
        <v>0</v>
      </c>
      <c r="D22" s="17">
        <f t="shared" si="2"/>
        <v>0</v>
      </c>
      <c r="E22" s="17">
        <f t="shared" si="2"/>
        <v>1.05</v>
      </c>
      <c r="F22" s="17">
        <f t="shared" si="2"/>
        <v>0</v>
      </c>
      <c r="G22" s="17">
        <f t="shared" si="2"/>
        <v>0</v>
      </c>
      <c r="H22" s="17">
        <f t="shared" si="2"/>
        <v>0.32</v>
      </c>
      <c r="I22" s="17">
        <f t="shared" si="2"/>
        <v>0</v>
      </c>
      <c r="J22" s="17">
        <f t="shared" si="2"/>
        <v>0</v>
      </c>
      <c r="K22" s="17">
        <f t="shared" si="2"/>
        <v>1.95</v>
      </c>
      <c r="L22" s="17">
        <f t="shared" si="2"/>
        <v>0.25</v>
      </c>
      <c r="M22" s="17">
        <f t="shared" si="2"/>
        <v>1.381</v>
      </c>
      <c r="N22" s="17">
        <f t="shared" si="2"/>
        <v>0</v>
      </c>
      <c r="O22" s="17">
        <f t="shared" si="2"/>
        <v>0.27500000000000002</v>
      </c>
      <c r="P22" s="17">
        <f t="shared" si="2"/>
        <v>3.1</v>
      </c>
      <c r="Q22" s="17">
        <f t="shared" si="2"/>
        <v>0.20399999999999999</v>
      </c>
      <c r="R22" s="17">
        <f t="shared" si="2"/>
        <v>8.5299999999999994</v>
      </c>
    </row>
    <row r="23" spans="1:18" x14ac:dyDescent="0.2">
      <c r="A23" s="35" t="str">
        <f>A12</f>
        <v xml:space="preserve">South &amp; East Asia </v>
      </c>
      <c r="B23" s="17">
        <f>B12/1000</f>
        <v>11.207000000000001</v>
      </c>
      <c r="C23" s="17">
        <f t="shared" ref="C23:R23" si="3">C12/1000</f>
        <v>23.997</v>
      </c>
      <c r="D23" s="17">
        <f t="shared" si="3"/>
        <v>0.108</v>
      </c>
      <c r="E23" s="17">
        <f t="shared" si="3"/>
        <v>0</v>
      </c>
      <c r="F23" s="17">
        <f t="shared" si="3"/>
        <v>0</v>
      </c>
      <c r="G23" s="17">
        <f t="shared" si="3"/>
        <v>1.5249999999999999</v>
      </c>
      <c r="H23" s="17">
        <f t="shared" si="3"/>
        <v>1</v>
      </c>
      <c r="I23" s="17">
        <f t="shared" si="3"/>
        <v>0</v>
      </c>
      <c r="J23" s="17">
        <f t="shared" si="3"/>
        <v>0</v>
      </c>
      <c r="K23" s="17">
        <f t="shared" si="3"/>
        <v>3.7919999999999998</v>
      </c>
      <c r="L23" s="17">
        <f t="shared" si="3"/>
        <v>2.78</v>
      </c>
      <c r="M23" s="17">
        <f t="shared" si="3"/>
        <v>2.76</v>
      </c>
      <c r="N23" s="17">
        <f t="shared" si="3"/>
        <v>9.17</v>
      </c>
      <c r="O23" s="17">
        <f t="shared" si="3"/>
        <v>0.45900000000000002</v>
      </c>
      <c r="P23" s="17">
        <f t="shared" si="3"/>
        <v>2.2475000000000001</v>
      </c>
      <c r="Q23" s="17">
        <f t="shared" si="3"/>
        <v>0.16438413361169102</v>
      </c>
      <c r="R23" s="17">
        <f t="shared" si="3"/>
        <v>59.209884133611688</v>
      </c>
    </row>
    <row r="24" spans="1:18" x14ac:dyDescent="0.2">
      <c r="A24" s="35" t="str">
        <f>A10</f>
        <v>Middle East</v>
      </c>
      <c r="B24" s="17">
        <f>B10/1000</f>
        <v>0.28000000000000003</v>
      </c>
      <c r="C24" s="17">
        <f t="shared" ref="C24:R24" si="4">C10/1000</f>
        <v>1.1000000000000001</v>
      </c>
      <c r="D24" s="17">
        <f t="shared" si="4"/>
        <v>0</v>
      </c>
      <c r="E24" s="17">
        <f t="shared" si="4"/>
        <v>3</v>
      </c>
      <c r="F24" s="17">
        <f t="shared" si="4"/>
        <v>0</v>
      </c>
      <c r="G24" s="17">
        <f t="shared" si="4"/>
        <v>0</v>
      </c>
      <c r="H24" s="17">
        <f t="shared" si="4"/>
        <v>0.14000000000000001</v>
      </c>
      <c r="I24" s="17">
        <f t="shared" si="4"/>
        <v>0</v>
      </c>
      <c r="J24" s="17">
        <f t="shared" si="4"/>
        <v>0</v>
      </c>
      <c r="K24" s="17">
        <f t="shared" si="4"/>
        <v>0</v>
      </c>
      <c r="L24" s="17">
        <f t="shared" si="4"/>
        <v>5.6</v>
      </c>
      <c r="M24" s="17">
        <f t="shared" si="4"/>
        <v>8.9469999999999992</v>
      </c>
      <c r="N24" s="17">
        <f t="shared" si="4"/>
        <v>4.4249999999999998</v>
      </c>
      <c r="O24" s="17">
        <f t="shared" si="4"/>
        <v>0</v>
      </c>
      <c r="P24" s="17">
        <f t="shared" si="4"/>
        <v>0.20599999999999999</v>
      </c>
      <c r="Q24" s="17">
        <f t="shared" si="4"/>
        <v>1</v>
      </c>
      <c r="R24" s="17">
        <f t="shared" si="4"/>
        <v>24.698</v>
      </c>
    </row>
    <row r="25" spans="1:18" x14ac:dyDescent="0.2">
      <c r="A25" s="39" t="s">
        <v>1081</v>
      </c>
      <c r="B25" s="40">
        <f>SUM(B20:B24)</f>
        <v>18.187000000000001</v>
      </c>
      <c r="C25" s="40">
        <f t="shared" ref="C25:Q25" si="5">SUM(C20:C24)</f>
        <v>30.543600000000001</v>
      </c>
      <c r="D25" s="40">
        <f t="shared" si="5"/>
        <v>0.108</v>
      </c>
      <c r="E25" s="40">
        <f t="shared" si="5"/>
        <v>5.75</v>
      </c>
      <c r="F25" s="40">
        <f t="shared" si="5"/>
        <v>6.1</v>
      </c>
      <c r="G25" s="40">
        <f t="shared" si="5"/>
        <v>13.425000000000001</v>
      </c>
      <c r="H25" s="40">
        <f t="shared" si="5"/>
        <v>1.46</v>
      </c>
      <c r="I25" s="40">
        <f t="shared" si="5"/>
        <v>1.9</v>
      </c>
      <c r="J25" s="40">
        <f t="shared" si="5"/>
        <v>0</v>
      </c>
      <c r="K25" s="40">
        <f t="shared" si="5"/>
        <v>18.303999999999998</v>
      </c>
      <c r="L25" s="40">
        <f t="shared" si="5"/>
        <v>12.401999999999999</v>
      </c>
      <c r="M25" s="40">
        <f t="shared" si="5"/>
        <v>17.29</v>
      </c>
      <c r="N25" s="40">
        <f t="shared" si="5"/>
        <v>15.495000000000001</v>
      </c>
      <c r="O25" s="40">
        <f t="shared" si="5"/>
        <v>0.73399999999999999</v>
      </c>
      <c r="P25" s="40">
        <f t="shared" si="5"/>
        <v>8.2974999999999994</v>
      </c>
      <c r="Q25" s="40">
        <f t="shared" si="5"/>
        <v>1.3863841336116911</v>
      </c>
      <c r="R25" s="40">
        <f>SUM(R20:R24)</f>
        <v>151.38248413361168</v>
      </c>
    </row>
    <row r="26" spans="1:18" x14ac:dyDescent="0.2">
      <c r="B26" s="17"/>
      <c r="C26" s="17"/>
      <c r="D26" s="17"/>
      <c r="E26" s="17"/>
      <c r="F26" s="17"/>
      <c r="G26" s="17"/>
      <c r="H26" s="17"/>
      <c r="I26" s="17"/>
      <c r="J26" s="17"/>
      <c r="K26" s="17"/>
      <c r="L26" s="17"/>
      <c r="M26" s="17"/>
      <c r="N26" s="17"/>
      <c r="O26" s="17"/>
      <c r="P26" s="17"/>
      <c r="Q26" s="17"/>
      <c r="R26" s="17"/>
    </row>
    <row r="27" spans="1:18" x14ac:dyDescent="0.2">
      <c r="A27" s="37" t="s">
        <v>1082</v>
      </c>
      <c r="B27" s="41"/>
      <c r="C27" s="41"/>
      <c r="D27" s="41"/>
      <c r="E27" s="41"/>
      <c r="F27" s="41"/>
      <c r="G27" s="41"/>
      <c r="H27" s="41"/>
      <c r="I27" s="41"/>
      <c r="J27" s="41"/>
      <c r="K27" s="41"/>
      <c r="L27" s="41"/>
      <c r="M27" s="41"/>
      <c r="N27" s="41"/>
      <c r="O27" s="41"/>
      <c r="P27" s="41"/>
      <c r="Q27" s="41"/>
      <c r="R27" s="41"/>
    </row>
    <row r="28" spans="1:18" x14ac:dyDescent="0.2">
      <c r="A28" s="35" t="str">
        <f>A9</f>
        <v>Europe</v>
      </c>
      <c r="B28" s="17">
        <f>B9/1000</f>
        <v>25.478999999999999</v>
      </c>
      <c r="C28" s="17">
        <f t="shared" ref="C28:R28" si="6">C9/1000</f>
        <v>6.0940000000000003</v>
      </c>
      <c r="D28" s="17">
        <f t="shared" si="6"/>
        <v>0</v>
      </c>
      <c r="E28" s="17">
        <f t="shared" si="6"/>
        <v>1.595</v>
      </c>
      <c r="F28" s="17">
        <f t="shared" si="6"/>
        <v>0</v>
      </c>
      <c r="G28" s="17">
        <f t="shared" si="6"/>
        <v>0</v>
      </c>
      <c r="H28" s="17">
        <f t="shared" si="6"/>
        <v>0</v>
      </c>
      <c r="I28" s="17">
        <f t="shared" si="6"/>
        <v>0</v>
      </c>
      <c r="J28" s="17">
        <f t="shared" si="6"/>
        <v>0</v>
      </c>
      <c r="K28" s="17">
        <f t="shared" si="6"/>
        <v>0</v>
      </c>
      <c r="L28" s="17">
        <f t="shared" si="6"/>
        <v>7.7965400000000002</v>
      </c>
      <c r="M28" s="17">
        <f t="shared" si="6"/>
        <v>1.07226</v>
      </c>
      <c r="N28" s="17">
        <f t="shared" si="6"/>
        <v>1.6865000000000001</v>
      </c>
      <c r="O28" s="17">
        <f t="shared" si="6"/>
        <v>0</v>
      </c>
      <c r="P28" s="17">
        <f t="shared" si="6"/>
        <v>7.71</v>
      </c>
      <c r="Q28" s="17">
        <f t="shared" si="6"/>
        <v>2.0550000000000002</v>
      </c>
      <c r="R28" s="17">
        <f t="shared" si="6"/>
        <v>53.488300000000002</v>
      </c>
    </row>
    <row r="29" spans="1:18" x14ac:dyDescent="0.2">
      <c r="A29" s="35" t="str">
        <f>A11</f>
        <v>North America</v>
      </c>
      <c r="B29" s="17">
        <f>B11/1000</f>
        <v>8.31</v>
      </c>
      <c r="C29" s="17">
        <f t="shared" ref="C29:R29" si="7">C11/1000</f>
        <v>1.284</v>
      </c>
      <c r="D29" s="17">
        <f t="shared" si="7"/>
        <v>0</v>
      </c>
      <c r="E29" s="17">
        <f t="shared" si="7"/>
        <v>0.83299999999999996</v>
      </c>
      <c r="F29" s="17">
        <f t="shared" si="7"/>
        <v>0</v>
      </c>
      <c r="G29" s="17">
        <f t="shared" si="7"/>
        <v>0</v>
      </c>
      <c r="H29" s="17">
        <f t="shared" si="7"/>
        <v>0</v>
      </c>
      <c r="I29" s="17">
        <f t="shared" si="7"/>
        <v>0</v>
      </c>
      <c r="J29" s="17">
        <f t="shared" si="7"/>
        <v>0</v>
      </c>
      <c r="K29" s="17">
        <f t="shared" si="7"/>
        <v>0</v>
      </c>
      <c r="L29" s="17">
        <f t="shared" si="7"/>
        <v>0</v>
      </c>
      <c r="M29" s="17">
        <f t="shared" si="7"/>
        <v>0</v>
      </c>
      <c r="N29" s="17">
        <f t="shared" si="7"/>
        <v>2.56</v>
      </c>
      <c r="O29" s="17">
        <f t="shared" si="7"/>
        <v>0</v>
      </c>
      <c r="P29" s="17">
        <f t="shared" si="7"/>
        <v>0</v>
      </c>
      <c r="Q29" s="17">
        <f t="shared" si="7"/>
        <v>0</v>
      </c>
      <c r="R29" s="17">
        <f t="shared" si="7"/>
        <v>12.987</v>
      </c>
    </row>
    <row r="30" spans="1:18" x14ac:dyDescent="0.2">
      <c r="A30" s="35" t="str">
        <f>A6</f>
        <v>Australasia</v>
      </c>
      <c r="B30" s="17">
        <f>B6/1000</f>
        <v>0</v>
      </c>
      <c r="C30" s="17">
        <f t="shared" ref="C30:R30" si="8">C6/1000</f>
        <v>0</v>
      </c>
      <c r="D30" s="17">
        <f t="shared" si="8"/>
        <v>0</v>
      </c>
      <c r="E30" s="17">
        <f t="shared" si="8"/>
        <v>1.129</v>
      </c>
      <c r="F30" s="17">
        <f t="shared" si="8"/>
        <v>0</v>
      </c>
      <c r="G30" s="17">
        <f t="shared" si="8"/>
        <v>0</v>
      </c>
      <c r="H30" s="17">
        <f t="shared" si="8"/>
        <v>1.298</v>
      </c>
      <c r="I30" s="17">
        <f t="shared" si="8"/>
        <v>0</v>
      </c>
      <c r="J30" s="17">
        <f t="shared" si="8"/>
        <v>2.4790000000000001</v>
      </c>
      <c r="K30" s="17">
        <f t="shared" si="8"/>
        <v>0</v>
      </c>
      <c r="L30" s="17">
        <f t="shared" si="8"/>
        <v>0</v>
      </c>
      <c r="M30" s="17">
        <f t="shared" si="8"/>
        <v>0</v>
      </c>
      <c r="N30" s="17">
        <f t="shared" si="8"/>
        <v>0</v>
      </c>
      <c r="O30" s="17">
        <f t="shared" si="8"/>
        <v>0</v>
      </c>
      <c r="P30" s="17">
        <f t="shared" si="8"/>
        <v>0.65</v>
      </c>
      <c r="Q30" s="17">
        <f t="shared" si="8"/>
        <v>0</v>
      </c>
      <c r="R30" s="17">
        <f t="shared" si="8"/>
        <v>5.556</v>
      </c>
    </row>
    <row r="31" spans="1:18" x14ac:dyDescent="0.2">
      <c r="A31" s="39" t="s">
        <v>1082</v>
      </c>
      <c r="B31" s="40">
        <f>SUM(B28:B30)</f>
        <v>33.789000000000001</v>
      </c>
      <c r="C31" s="40">
        <f t="shared" ref="C31:R31" si="9">SUM(C28:C30)</f>
        <v>7.3780000000000001</v>
      </c>
      <c r="D31" s="40">
        <f t="shared" si="9"/>
        <v>0</v>
      </c>
      <c r="E31" s="40">
        <f t="shared" si="9"/>
        <v>3.5569999999999999</v>
      </c>
      <c r="F31" s="40">
        <f t="shared" si="9"/>
        <v>0</v>
      </c>
      <c r="G31" s="40">
        <f t="shared" si="9"/>
        <v>0</v>
      </c>
      <c r="H31" s="40">
        <f t="shared" si="9"/>
        <v>1.298</v>
      </c>
      <c r="I31" s="40">
        <f t="shared" si="9"/>
        <v>0</v>
      </c>
      <c r="J31" s="40">
        <f t="shared" si="9"/>
        <v>2.4790000000000001</v>
      </c>
      <c r="K31" s="40">
        <f t="shared" si="9"/>
        <v>0</v>
      </c>
      <c r="L31" s="40">
        <f t="shared" si="9"/>
        <v>7.7965400000000002</v>
      </c>
      <c r="M31" s="40">
        <f t="shared" si="9"/>
        <v>1.07226</v>
      </c>
      <c r="N31" s="40">
        <f t="shared" si="9"/>
        <v>4.2465000000000002</v>
      </c>
      <c r="O31" s="40">
        <f t="shared" si="9"/>
        <v>0</v>
      </c>
      <c r="P31" s="40">
        <f t="shared" si="9"/>
        <v>8.36</v>
      </c>
      <c r="Q31" s="40">
        <f t="shared" si="9"/>
        <v>2.0550000000000002</v>
      </c>
      <c r="R31" s="40">
        <f t="shared" si="9"/>
        <v>72.031300000000002</v>
      </c>
    </row>
    <row r="32" spans="1:18" x14ac:dyDescent="0.2">
      <c r="A32" s="42" t="s">
        <v>910</v>
      </c>
      <c r="B32" s="43">
        <f>B25+B31</f>
        <v>51.975999999999999</v>
      </c>
      <c r="C32" s="43">
        <f t="shared" ref="C32:R32" si="10">C25+C31</f>
        <v>37.921599999999998</v>
      </c>
      <c r="D32" s="43">
        <f t="shared" si="10"/>
        <v>0.108</v>
      </c>
      <c r="E32" s="43">
        <f t="shared" si="10"/>
        <v>9.3070000000000004</v>
      </c>
      <c r="F32" s="43">
        <f t="shared" si="10"/>
        <v>6.1</v>
      </c>
      <c r="G32" s="43">
        <f t="shared" si="10"/>
        <v>13.425000000000001</v>
      </c>
      <c r="H32" s="43">
        <f t="shared" si="10"/>
        <v>2.758</v>
      </c>
      <c r="I32" s="43">
        <f t="shared" si="10"/>
        <v>1.9</v>
      </c>
      <c r="J32" s="43">
        <f t="shared" si="10"/>
        <v>2.4790000000000001</v>
      </c>
      <c r="K32" s="43">
        <f t="shared" si="10"/>
        <v>18.303999999999998</v>
      </c>
      <c r="L32" s="43">
        <f t="shared" si="10"/>
        <v>20.198540000000001</v>
      </c>
      <c r="M32" s="43">
        <f t="shared" si="10"/>
        <v>18.362259999999999</v>
      </c>
      <c r="N32" s="43">
        <f t="shared" si="10"/>
        <v>19.741500000000002</v>
      </c>
      <c r="O32" s="43">
        <f t="shared" si="10"/>
        <v>0.73399999999999999</v>
      </c>
      <c r="P32" s="43">
        <f t="shared" si="10"/>
        <v>16.657499999999999</v>
      </c>
      <c r="Q32" s="43">
        <f t="shared" si="10"/>
        <v>3.4413841336116913</v>
      </c>
      <c r="R32" s="43">
        <f t="shared" si="10"/>
        <v>223.41378413361167</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1DE0-B7BA-2740-8B24-CE4CA95D7C7F}">
  <sheetPr>
    <tabColor theme="3" tint="0.89999084444715716"/>
  </sheetPr>
  <dimension ref="A3:D11"/>
  <sheetViews>
    <sheetView showGridLines="0" workbookViewId="0">
      <selection activeCell="J12" sqref="J12"/>
    </sheetView>
  </sheetViews>
  <sheetFormatPr baseColWidth="10" defaultRowHeight="16" x14ac:dyDescent="0.2"/>
  <cols>
    <col min="1" max="1" width="30.83203125" bestFit="1" customWidth="1"/>
    <col min="2" max="2" width="21.83203125" bestFit="1" customWidth="1"/>
    <col min="3" max="3" width="31" bestFit="1" customWidth="1"/>
    <col min="4" max="4" width="12.83203125" bestFit="1" customWidth="1"/>
    <col min="5" max="5" width="5.83203125" bestFit="1" customWidth="1"/>
    <col min="6" max="6" width="16" bestFit="1" customWidth="1"/>
    <col min="7" max="7" width="17.6640625" bestFit="1" customWidth="1"/>
    <col min="8" max="9" width="20.1640625" bestFit="1" customWidth="1"/>
    <col min="10" max="10" width="20" bestFit="1" customWidth="1"/>
    <col min="11" max="11" width="6.6640625" bestFit="1" customWidth="1"/>
    <col min="12" max="12" width="9.1640625" bestFit="1" customWidth="1"/>
    <col min="13" max="13" width="11" bestFit="1" customWidth="1"/>
    <col min="14" max="14" width="19.83203125" bestFit="1" customWidth="1"/>
    <col min="15" max="15" width="16.5" bestFit="1" customWidth="1"/>
    <col min="17" max="17" width="19.6640625" bestFit="1" customWidth="1"/>
    <col min="18" max="18" width="7.6640625" bestFit="1" customWidth="1"/>
    <col min="19" max="19" width="12.1640625" bestFit="1" customWidth="1"/>
  </cols>
  <sheetData>
    <row r="3" spans="1:4" x14ac:dyDescent="0.2">
      <c r="A3" s="16" t="s">
        <v>913</v>
      </c>
      <c r="B3" s="16" t="s">
        <v>914</v>
      </c>
    </row>
    <row r="4" spans="1:4" x14ac:dyDescent="0.2">
      <c r="A4" s="16" t="s">
        <v>911</v>
      </c>
      <c r="B4" t="s">
        <v>10</v>
      </c>
      <c r="C4" t="s">
        <v>11</v>
      </c>
      <c r="D4" t="s">
        <v>912</v>
      </c>
    </row>
    <row r="5" spans="1:4" x14ac:dyDescent="0.2">
      <c r="A5" s="8" t="s">
        <v>844</v>
      </c>
      <c r="B5" s="34">
        <v>11207</v>
      </c>
      <c r="C5" s="34">
        <v>23997</v>
      </c>
      <c r="D5" s="34">
        <v>35204</v>
      </c>
    </row>
    <row r="6" spans="1:4" x14ac:dyDescent="0.2">
      <c r="A6" s="8" t="s">
        <v>30</v>
      </c>
      <c r="B6" s="34">
        <v>25479</v>
      </c>
      <c r="C6" s="34">
        <v>6094</v>
      </c>
      <c r="D6" s="34">
        <v>31573</v>
      </c>
    </row>
    <row r="7" spans="1:4" x14ac:dyDescent="0.2">
      <c r="A7" s="8" t="s">
        <v>965</v>
      </c>
      <c r="B7" s="34">
        <v>6700</v>
      </c>
      <c r="C7" s="34">
        <v>4046.6</v>
      </c>
      <c r="D7" s="34">
        <v>10746.6</v>
      </c>
    </row>
    <row r="8" spans="1:4" x14ac:dyDescent="0.2">
      <c r="A8" s="8" t="s">
        <v>28</v>
      </c>
      <c r="B8" s="34">
        <v>8310</v>
      </c>
      <c r="C8" s="34">
        <v>1284</v>
      </c>
      <c r="D8" s="34">
        <v>9594</v>
      </c>
    </row>
    <row r="9" spans="1:4" x14ac:dyDescent="0.2">
      <c r="A9" s="8" t="s">
        <v>29</v>
      </c>
      <c r="B9" s="34"/>
      <c r="C9" s="34">
        <v>1400</v>
      </c>
      <c r="D9" s="34">
        <v>1400</v>
      </c>
    </row>
    <row r="10" spans="1:4" x14ac:dyDescent="0.2">
      <c r="A10" s="8" t="s">
        <v>845</v>
      </c>
      <c r="B10" s="34">
        <v>280</v>
      </c>
      <c r="C10" s="34">
        <v>1100</v>
      </c>
      <c r="D10" s="34">
        <v>1380</v>
      </c>
    </row>
    <row r="11" spans="1:4" x14ac:dyDescent="0.2">
      <c r="A11" s="8" t="s">
        <v>912</v>
      </c>
      <c r="B11" s="34">
        <v>51976</v>
      </c>
      <c r="C11" s="34">
        <v>37921.599999999999</v>
      </c>
      <c r="D11" s="34">
        <v>89897.600000000006</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Glossary</vt:lpstr>
      <vt:lpstr>Definitions</vt:lpstr>
      <vt:lpstr>Global Cleantech</vt:lpstr>
      <vt:lpstr>Resources</vt:lpstr>
      <vt:lpstr>Region Chart</vt:lpstr>
      <vt:lpstr>Tech Chart</vt:lpstr>
      <vt:lpstr>North and South</vt:lpstr>
      <vt:lpstr>Batteries</vt:lpstr>
      <vt:lpstr>Resource Region Chart</vt:lpstr>
      <vt:lpstr>Simandou</vt:lpstr>
      <vt:lpstr>AUDUSD</vt:lpstr>
      <vt:lpstr>Edits</vt:lpstr>
      <vt:lpstr>Euro</vt:lpstr>
      <vt:lpstr>EURUSD</vt:lpstr>
      <vt:lpstr>GBPUSD</vt:lpstr>
      <vt:lpstr>JPYUSD</vt:lpstr>
      <vt:lpstr>Sterl</vt:lpstr>
      <vt:lpstr>Sterling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Pollard</dc:creator>
  <cp:lastModifiedBy>Tim Buckley</cp:lastModifiedBy>
  <dcterms:created xsi:type="dcterms:W3CDTF">2026-01-16T00:59:20Z</dcterms:created>
  <dcterms:modified xsi:type="dcterms:W3CDTF">2026-04-30T03:36:11Z</dcterms:modified>
</cp:coreProperties>
</file>